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75" tabRatio="863" firstSheet="20" activeTab="25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.a.sz.m.fejlesztés (3)" sheetId="8" r:id="rId8"/>
    <sheet name="6.b.sz.m.intfejl (2)" sheetId="9" r:id="rId9"/>
    <sheet name="7.sz.m.Dologi kiadás (3)" sheetId="10" r:id="rId10"/>
    <sheet name="8.sz.m.szociális kiadások (2)" sheetId="11" r:id="rId11"/>
    <sheet name="9.sz.m.átadott pe (3)" sheetId="12" r:id="rId12"/>
    <sheet name="10 .sz.m. Létszám (2)" sheetId="13" r:id="rId13"/>
    <sheet name="11.sz.m.maradvány" sheetId="14" r:id="rId14"/>
    <sheet name="12.sz.m.mérleg" sheetId="15" r:id="rId15"/>
    <sheet name="13amell.Vagyokim. Beled Önk" sheetId="16" r:id="rId16"/>
    <sheet name="13bmell.Vagyokim. Közös Hiv" sheetId="17" r:id="rId17"/>
    <sheet name="13cmell.Vagyokim.BÁMK" sheetId="18" r:id="rId18"/>
    <sheet name="13d.sz.m Önk. érték nélkül Bele" sheetId="19" r:id="rId19"/>
    <sheet name="13e.sz.m érték nélkül Közös Hiv" sheetId="20" r:id="rId20"/>
    <sheet name="13f.sz.m.érték nélkül BÁMK" sheetId="21" r:id="rId21"/>
    <sheet name="14. sz adósság kötelezettség" sheetId="22" r:id="rId22"/>
    <sheet name="15. saját bevételek" sheetId="23" r:id="rId23"/>
    <sheet name="16. sz.m. hitelállomány" sheetId="24" r:id="rId24"/>
    <sheet name="17.sz.m.akü" sheetId="25" r:id="rId25"/>
    <sheet name="18.sz.m. állami támogatás " sheetId="26" r:id="rId26"/>
    <sheet name="19. sz.m. közvetett tám. " sheetId="27" r:id="rId27"/>
    <sheet name="20.sz.m.többéves kihatás" sheetId="28" r:id="rId28"/>
    <sheet name="21.sz.m.részesedések" sheetId="29" r:id="rId29"/>
    <sheet name="22.sz.m. pe változás" sheetId="30" r:id="rId30"/>
    <sheet name="23. sz. m. EU " sheetId="31" r:id="rId31"/>
    <sheet name="üres lap" sheetId="32" r:id="rId32"/>
  </sheets>
  <externalReferences>
    <externalReference r:id="rId35"/>
    <externalReference r:id="rId36"/>
  </externalReferences>
  <definedNames>
    <definedName name="_xlfn.IFERROR" hidden="1">#NAME?</definedName>
    <definedName name="_xlnm.Print_Area" localSheetId="1">'1 .sz.m.önk.össz.kiad.'!$A$1:$AJ$66</definedName>
    <definedName name="_xlnm.Print_Area" localSheetId="0">'1.sz.m-önk.össze.bev'!$A$1:$Z$64</definedName>
    <definedName name="_xlnm.Print_Area" localSheetId="12">'10 .sz.m. Létszám (2)'!$A$1:$I$16</definedName>
    <definedName name="_xlnm.Print_Area" localSheetId="21">'14. sz adósság kötelezettség'!$A$1:$F$25</definedName>
    <definedName name="_xlnm.Print_Area" localSheetId="2">'2.sz.m.összehasonlító'!$A$1:$P$32</definedName>
    <definedName name="_xlnm.Print_Area" localSheetId="3">'3.sz.m Önk  bev.'!$A$1:$AB$62</definedName>
    <definedName name="_xlnm.Print_Area" localSheetId="4">'4.sz.m.ÖNK kiadás'!$A$1:$AB$39</definedName>
    <definedName name="_xlnm.Print_Area" localSheetId="5">'5.1 sz. m Köz Hiv'!$A$1:$AA$52</definedName>
    <definedName name="_xlnm.Print_Area" localSheetId="6">'5.2 sz. m ÁMK'!$A$1:$V$56</definedName>
    <definedName name="_xlnm.Print_Area" localSheetId="7">'6.a.sz.m.fejlesztés (3)'!$A$1:$AE$43</definedName>
    <definedName name="_xlnm.Print_Area" localSheetId="8">'6.b.sz.m.intfejl (2)'!$A$1:$J$21</definedName>
    <definedName name="_xlnm.Print_Area" localSheetId="9">'7.sz.m.Dologi kiadás (3)'!$A$1:$AA$29</definedName>
    <definedName name="_xlnm.Print_Area" localSheetId="10">'8.sz.m.szociális kiadások (2)'!$A$1:$Z$36</definedName>
    <definedName name="_xlnm.Print_Area" localSheetId="11">'9.sz.m.átadott pe (3)'!$A$1:$AD$116</definedName>
    <definedName name="_xlnm.Print_Area" localSheetId="31">'üres lap'!$A$1:$R$44</definedName>
  </definedNames>
  <calcPr fullCalcOnLoad="1"/>
</workbook>
</file>

<file path=xl/sharedStrings.xml><?xml version="1.0" encoding="utf-8"?>
<sst xmlns="http://schemas.openxmlformats.org/spreadsheetml/2006/main" count="3008" uniqueCount="1444">
  <si>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</si>
  <si>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</si>
  <si>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</si>
  <si>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</si>
  <si>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</si>
  <si>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</si>
  <si>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</si>
  <si>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</si>
  <si>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</si>
  <si>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</si>
  <si>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</si>
  <si>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</si>
  <si>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</si>
  <si>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</si>
  <si>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</si>
  <si>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</si>
  <si>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</si>
  <si>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</si>
  <si>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</si>
  <si>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</si>
  <si>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</si>
  <si>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</si>
  <si>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</si>
  <si>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</si>
  <si>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</si>
  <si>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</si>
  <si>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</si>
  <si>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</si>
  <si>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</si>
  <si>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</si>
  <si>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</si>
  <si>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</si>
  <si>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</si>
  <si>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</si>
  <si>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</si>
  <si>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</si>
  <si>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</si>
  <si>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</si>
  <si>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</si>
  <si>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</si>
  <si>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</si>
  <si>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</si>
  <si>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</si>
  <si>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</si>
  <si>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</si>
  <si>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</si>
  <si>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</si>
  <si>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</si>
  <si>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</si>
  <si>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</si>
  <si>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</si>
  <si>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</si>
  <si>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</si>
  <si>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</si>
  <si>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</si>
  <si>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</si>
  <si>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</si>
  <si>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</si>
  <si>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</si>
  <si>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</si>
  <si>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</si>
  <si>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</si>
  <si>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</si>
  <si>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</si>
  <si>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</si>
  <si>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</si>
  <si>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</si>
  <si>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</si>
  <si>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</si>
  <si>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</si>
  <si>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</si>
  <si>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</si>
  <si>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</si>
  <si>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</si>
  <si>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</si>
  <si>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</si>
  <si>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</si>
  <si>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</si>
  <si>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</si>
  <si>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</si>
  <si>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</si>
  <si>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</si>
  <si>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</si>
  <si>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</si>
  <si>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</si>
  <si>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</si>
  <si>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</si>
  <si>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</si>
  <si>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</si>
  <si>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</si>
  <si>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</si>
  <si>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</si>
  <si>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</si>
  <si>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</si>
  <si>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</si>
  <si>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</si>
  <si>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</si>
  <si>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</si>
  <si>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</si>
  <si>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</si>
  <si>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</si>
  <si>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</si>
  <si>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</si>
  <si>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</si>
  <si>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</si>
  <si>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</si>
  <si>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</si>
  <si>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</si>
  <si>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</si>
  <si>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</si>
  <si>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</si>
  <si>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</si>
  <si>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</si>
  <si>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</si>
  <si>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</si>
  <si>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</si>
  <si>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</si>
  <si>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</si>
  <si>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</si>
  <si>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</si>
  <si>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</si>
  <si>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</si>
  <si>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</si>
  <si>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</si>
  <si>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</si>
  <si>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</si>
  <si>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</si>
  <si>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</si>
  <si>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</si>
  <si>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</si>
  <si>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</si>
  <si>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</si>
  <si>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</si>
  <si>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</si>
  <si>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</si>
  <si>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</si>
  <si>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</si>
  <si>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</si>
  <si>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</si>
  <si>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</si>
  <si>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</si>
  <si>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</si>
  <si>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</si>
  <si>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</si>
  <si>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</si>
  <si>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</si>
  <si>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</si>
  <si>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</si>
  <si>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</si>
  <si>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</si>
  <si>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</si>
  <si>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</si>
  <si>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</si>
  <si>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</si>
  <si>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</si>
  <si>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</si>
  <si>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</si>
  <si>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</si>
  <si>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</si>
  <si>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</si>
  <si>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</si>
  <si>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</si>
  <si>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</si>
  <si>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</si>
  <si>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</si>
  <si>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</si>
  <si>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</si>
  <si>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</si>
  <si>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</si>
  <si>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</si>
  <si>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</si>
  <si>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</si>
  <si>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</si>
  <si>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</si>
  <si>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</si>
  <si>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</si>
  <si>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</si>
  <si>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</si>
  <si>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</si>
  <si>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</si>
  <si>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</si>
  <si>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</si>
  <si>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</si>
  <si>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</si>
  <si>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</si>
  <si>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</si>
  <si>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</si>
  <si>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</si>
  <si>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</si>
  <si>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</si>
  <si>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</si>
  <si>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</si>
  <si>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</si>
  <si>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</si>
  <si>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</si>
  <si>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</si>
  <si>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</si>
  <si>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</si>
  <si>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</si>
  <si>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</si>
  <si>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</si>
  <si>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</si>
  <si>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</si>
  <si>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</si>
  <si>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</si>
  <si>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</si>
  <si>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</si>
  <si>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</si>
  <si>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</si>
  <si>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</si>
  <si>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</si>
  <si>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</si>
  <si>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</si>
  <si>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</si>
  <si>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</si>
  <si>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</si>
  <si>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</si>
  <si>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</si>
  <si>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</si>
  <si>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</si>
  <si>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</si>
  <si>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</si>
  <si>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</si>
  <si>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</si>
  <si>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</si>
  <si>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</si>
  <si>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</si>
  <si>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</si>
  <si>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</si>
  <si>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</si>
  <si>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</si>
  <si>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</si>
  <si>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</si>
  <si>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</si>
  <si>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</si>
  <si>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</si>
  <si>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</si>
  <si>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</si>
  <si>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</si>
  <si>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</si>
  <si>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</si>
  <si>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</si>
  <si>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</si>
  <si>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</si>
  <si>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</si>
  <si>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</si>
  <si>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</si>
  <si>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</si>
  <si>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</si>
  <si>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</si>
  <si>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Mód. V.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</si>
  <si>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</si>
  <si>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</si>
  <si>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</si>
  <si>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</si>
  <si>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</si>
  <si>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</si>
  <si>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</si>
  <si>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</si>
  <si>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</si>
  <si>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</si>
  <si>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</si>
  <si>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</si>
  <si>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</si>
  <si>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</si>
  <si>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</si>
  <si>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</si>
  <si>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</si>
  <si>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</si>
  <si>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</si>
  <si>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</si>
  <si>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</si>
  <si>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</si>
  <si>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</si>
  <si>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</si>
  <si>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</si>
  <si>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</si>
  <si>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</si>
  <si>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</si>
  <si>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</si>
  <si>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</si>
  <si>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</si>
  <si>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</si>
  <si>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</si>
  <si>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</si>
  <si>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</si>
  <si>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</si>
  <si>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</si>
  <si>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</si>
  <si>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</si>
  <si>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</si>
  <si>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</si>
  <si>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</si>
  <si>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</si>
  <si>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</si>
  <si>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</si>
  <si>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</si>
  <si>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</si>
  <si>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</si>
  <si>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</si>
  <si>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</si>
  <si>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</si>
  <si>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</si>
  <si>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</si>
  <si>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</si>
  <si>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</si>
  <si>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</si>
  <si>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</si>
  <si>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</si>
  <si>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</si>
  <si>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</si>
  <si>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</si>
  <si>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</si>
  <si>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</si>
  <si>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</si>
  <si>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</si>
  <si>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</si>
  <si>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</si>
  <si>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</si>
  <si>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</si>
  <si>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</si>
  <si>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</si>
  <si>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</si>
  <si>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</si>
  <si>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</si>
  <si>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</si>
  <si>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</si>
  <si>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</si>
  <si>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</si>
  <si>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</si>
  <si>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</si>
  <si>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</si>
  <si>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</si>
  <si>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</si>
  <si>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</si>
  <si>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</si>
  <si>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</si>
  <si>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</si>
  <si>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</si>
  <si>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</si>
  <si>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</si>
  <si>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</si>
  <si>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</si>
  <si>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</si>
  <si>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</si>
  <si>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</si>
  <si>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</si>
  <si>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</si>
  <si>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</si>
  <si>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Fejlesztési támogatás (sportcsarnok - felhalmozási)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</si>
  <si>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</si>
  <si>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</si>
  <si>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</si>
  <si>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</si>
  <si>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</si>
  <si>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</si>
  <si>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</si>
  <si>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</si>
  <si>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</si>
  <si>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Magyar Máltai Szeretetszolgálat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</si>
  <si>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</si>
  <si>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</si>
  <si>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</si>
  <si>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</si>
  <si>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</si>
  <si>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</si>
  <si>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</si>
  <si>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</si>
  <si>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</si>
  <si>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</si>
  <si>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</si>
  <si>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</si>
  <si>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</si>
  <si>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</si>
  <si>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</si>
  <si>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</si>
  <si>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</si>
  <si>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</si>
  <si>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</si>
  <si>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</si>
  <si>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</si>
  <si>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</si>
  <si>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</si>
  <si>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</si>
  <si>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</si>
  <si>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</si>
  <si>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</si>
  <si>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</si>
  <si>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</si>
  <si>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</si>
  <si>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</si>
  <si>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</si>
  <si>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</si>
  <si>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</si>
  <si>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</si>
  <si>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</si>
  <si>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</si>
  <si>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</si>
  <si>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</si>
  <si>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</si>
  <si>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</si>
  <si>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</si>
  <si>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</si>
  <si>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</si>
  <si>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</si>
  <si>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</si>
  <si>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</si>
  <si>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11.</t>
  </si>
  <si>
    <t>12.</t>
  </si>
  <si>
    <t>13.</t>
  </si>
  <si>
    <t>14.</t>
  </si>
  <si>
    <t>15.</t>
  </si>
  <si>
    <t>16.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</si>
  <si>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</si>
  <si>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</si>
  <si>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</si>
  <si>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</si>
  <si>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</si>
  <si>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</si>
  <si>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</si>
  <si>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</si>
  <si>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</si>
  <si>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</si>
  <si>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</si>
  <si>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</si>
  <si>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</si>
  <si>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</si>
  <si>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</si>
  <si>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15. számú melléklet</t>
  </si>
  <si>
    <t>ÁH belüli megelőlegezések visszafizetései</t>
  </si>
  <si>
    <t>6.3</t>
  </si>
  <si>
    <t>I.6. előző évről áthúzódó bérkompenzáció</t>
  </si>
  <si>
    <t>Könyvtári célú érdekeltségnövelő támogatás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</si>
  <si>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</si>
  <si>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</si>
  <si>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</si>
  <si>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</si>
  <si>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</si>
  <si>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</si>
  <si>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</si>
  <si>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</si>
  <si>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</si>
  <si>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</si>
  <si>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</si>
  <si>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</si>
  <si>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</si>
  <si>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</si>
  <si>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</si>
  <si>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</si>
  <si>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</si>
  <si>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</si>
  <si>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</si>
  <si>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</si>
  <si>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</si>
  <si>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</si>
  <si>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</si>
  <si>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Ifjúság utca felújítása</t>
  </si>
  <si>
    <t>Szociális tűzifa (2015. évről áthúzódó)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</si>
  <si>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</si>
  <si>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</si>
  <si>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</si>
  <si>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</si>
  <si>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</si>
  <si>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</si>
  <si>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</si>
  <si>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</si>
  <si>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</si>
  <si>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</si>
  <si>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</si>
  <si>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</si>
  <si>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</si>
  <si>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</si>
  <si>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</si>
  <si>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</si>
  <si>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</si>
  <si>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</si>
  <si>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</si>
  <si>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</si>
  <si>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</si>
  <si>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</si>
  <si>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</si>
  <si>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</si>
  <si>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</si>
  <si>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</si>
  <si>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</si>
  <si>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</si>
  <si>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</si>
  <si>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</si>
  <si>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</si>
  <si>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</si>
  <si>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 xml:space="preserve">Véglegesen és átmeneti jelleggel átadott pénzeszközök </t>
  </si>
  <si>
    <t>Véglegesen átadott pénzeszközök</t>
  </si>
  <si>
    <t>Közvetített szolgáltatok ellenértéke</t>
  </si>
  <si>
    <t>kisértékű tárgyi eszközök beszerzése</t>
  </si>
  <si>
    <t>Vadászati jog bérbeadéséból származó jövedelem</t>
  </si>
  <si>
    <t>Szociális tűzifa (2016)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</si>
  <si>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</si>
  <si>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</si>
  <si>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</si>
  <si>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</si>
  <si>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Beledi Általános Iskola Diákjaiért Közalapítvány</t>
  </si>
  <si>
    <t>Civil szervezetek támogatása (képviselői felajánlásból)</t>
  </si>
  <si>
    <t>Egyházak támogatása (képviselői felajánlásból)</t>
  </si>
  <si>
    <t>Szociális tüzelőanyag támogatás (Kvtv. 1. melléklet IX. 18.)</t>
  </si>
  <si>
    <t>Rendkívüli önkormányzati támogatás (Kvtv. 3. melléklet III. a) pont)</t>
  </si>
  <si>
    <t xml:space="preserve">2017. év </t>
  </si>
  <si>
    <t>2017. év</t>
  </si>
  <si>
    <t>Önkormányzat 2017. évi kiadási előirányzatai</t>
  </si>
  <si>
    <t>Iparűzési adó - állandó jellegggel végzett</t>
  </si>
  <si>
    <t>Önkormányzat költségvetési szerveinek 2017. évi létszámkerete</t>
  </si>
  <si>
    <t>2017. január 1.</t>
  </si>
  <si>
    <t>Szegélynyíró beszerzése</t>
  </si>
  <si>
    <t>Településrendezési terv elkészítése</t>
  </si>
  <si>
    <t>útfelújítás - Bartók utca</t>
  </si>
  <si>
    <t>járdafelújítás</t>
  </si>
  <si>
    <t>ravatalozó felújítása - előtető</t>
  </si>
  <si>
    <t>óvoda épület felújítása</t>
  </si>
  <si>
    <t>óvoda épület felújítása - műszaki tervezés</t>
  </si>
  <si>
    <t>kastély kerítés felújítása</t>
  </si>
  <si>
    <t>alsó iskola kerítés felújítása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</si>
  <si>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</si>
  <si>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</si>
  <si>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</si>
  <si>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</si>
  <si>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</si>
  <si>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</si>
  <si>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</si>
  <si>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</si>
  <si>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Labdarúgó Szakosztály</t>
  </si>
  <si>
    <t>Beled Sportegyesület Kézilabda Szakosztály</t>
  </si>
  <si>
    <t>Beled Sportegyesület "rezsitámogatás"</t>
  </si>
  <si>
    <t>Rendőrörs - Rábakecöl Községi Önkormányzat</t>
  </si>
  <si>
    <t>Kapuvár-Beledi Többcélú Kistérségi Társulás</t>
  </si>
  <si>
    <t>Fogorvosi ügyelet Sopron Megyei Jogú Város Önkormányzata</t>
  </si>
  <si>
    <t>Tárgyi eszközök értékesítése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</si>
  <si>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</si>
  <si>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</si>
  <si>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</si>
  <si>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</si>
  <si>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2017.</t>
  </si>
  <si>
    <t>Forgatási célú értékpapírból származó bevétel</t>
  </si>
  <si>
    <t>Önkormányzat 2017. évi bevételi előirányzatai</t>
  </si>
  <si>
    <t>Önkormányzat összevont 2017. évi bevételi előirányzatai</t>
  </si>
  <si>
    <t>2017. évi előirányzat</t>
  </si>
  <si>
    <t xml:space="preserve">BERUHÁZÁSOK (ÁFA-val) </t>
  </si>
  <si>
    <t>mikrohullámú sütő beszerzése művelődési házba</t>
  </si>
  <si>
    <t>Vicai Katolikus Egyházközség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</si>
  <si>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</si>
  <si>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</si>
  <si>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</si>
  <si>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</si>
  <si>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5 db ülőpad vásárlása</t>
  </si>
  <si>
    <t>Karácsonyi díszkivilágítás</t>
  </si>
  <si>
    <t xml:space="preserve">Utcanév táblák készítése (52 db) </t>
  </si>
  <si>
    <t>2 db szívhangmérő beszerzése védőnői szolgálat részére</t>
  </si>
  <si>
    <t>Kisfaludi Vadaspark Egyesület és Baráti Kör</t>
  </si>
  <si>
    <t>Foki Nikolett Gyógyulásáért Alapítvány</t>
  </si>
  <si>
    <t>Szalonnasütő beszerzése képviselői felajánlásból</t>
  </si>
  <si>
    <t>Önkormányzati vagyongazdálkodással kapcsolatos feladatok</t>
  </si>
  <si>
    <t>telefon beszerzése élelmezésvezetőnek</t>
  </si>
  <si>
    <t>Kulturális ágazati pótlék (8/2017. (I. 23.) Korm.rendelet)</t>
  </si>
  <si>
    <t>KÖFOP-1.2.1-VEKOP-16-2017-00870 Beled Város Önkormányzata ASP központhoz való csatlakozása - eszközbeszerzések</t>
  </si>
  <si>
    <t>TOP-3.1.1-15-GM1-2016-00013 Közlekedésfejlesztés Beled városában - kerékpárút kialakítása</t>
  </si>
  <si>
    <t xml:space="preserve">TOP-1.1.3-15.GM1-2016-00008 "Helyi termelői piac kialakítása Beleden" </t>
  </si>
  <si>
    <t>alsó iskolánál murvás parkoló kialakítása</t>
  </si>
  <si>
    <t>TOP-3.2.1-15-GM1-2016-00033 Beled Város középületeinek energetikai korszerűsítése (hivatal és konyha épülete)</t>
  </si>
  <si>
    <t>Településfejlesztési projektek és támogatásuk</t>
  </si>
  <si>
    <t>Informatikai fejlesztések, szolgáltatások</t>
  </si>
  <si>
    <t>1312/2017. (VI. 8.) Korm. Határozat szerint a 2017. évi minimálbér és garantált bérminimum emelése, valamint a szociális hozzájárulási adó csökkentése hatásának kompenzálására kpott támogatás</t>
  </si>
  <si>
    <t>Biztosítás kárfizetés</t>
  </si>
  <si>
    <t>2.8</t>
  </si>
  <si>
    <t>2 db "Sportpálya" feliratú tábla</t>
  </si>
  <si>
    <t>Utcanév tábla hátlapok beszerzése</t>
  </si>
  <si>
    <t>Ivókút vásárlása</t>
  </si>
  <si>
    <t>Művelődési ház nyílászárók cseréje</t>
  </si>
  <si>
    <t>Természetbeni támogatás Gyvt. 20/a §. (Erzsébet utalvány)</t>
  </si>
  <si>
    <t>Beledi Szociális és Gyermekjóléti Társulás 2017. évi hozzájárulás</t>
  </si>
  <si>
    <t>Beledi Szociális és Gyermekjóléti Társulás 2016. évi hozzájárulás elszámolás</t>
  </si>
  <si>
    <t>Magyar Technikai és Tömegsport Szövetség Beledi Klubja</t>
  </si>
  <si>
    <t xml:space="preserve">Európai Uniós támogatással megvalósuló  programok, projektek 2017. évi bevételei és kiadásai  </t>
  </si>
  <si>
    <t>Önkormányzaton belül megvalósuló projektek (támogatási szerződéssel rendelkező)</t>
  </si>
  <si>
    <t xml:space="preserve">Bevételek </t>
  </si>
  <si>
    <t xml:space="preserve">Kiadások </t>
  </si>
  <si>
    <t>TOP-3.2.1-15-GM1-2016-00033</t>
  </si>
  <si>
    <t>Projekt megvalósítás</t>
  </si>
  <si>
    <t>Beled Város Középületeinek energetikai korszerűsítése</t>
  </si>
  <si>
    <t>Önerő</t>
  </si>
  <si>
    <t>Összes bevétel</t>
  </si>
  <si>
    <t>Összes kiadás</t>
  </si>
  <si>
    <t>TOP-1.1.3-15-GM1-2016-00008</t>
  </si>
  <si>
    <t>Helyi termelői piac kialakítása Beleden</t>
  </si>
  <si>
    <t>Pénzmaradvány</t>
  </si>
  <si>
    <t>TOP-3.1.1-15GM1-2016-00013</t>
  </si>
  <si>
    <t xml:space="preserve">Támogatás </t>
  </si>
  <si>
    <t>Közlekedésfejlesztés Beled városában</t>
  </si>
  <si>
    <t>Saját forrás , támogatás megelőlegezés</t>
  </si>
  <si>
    <t>KÖFOP-1.2.1-VEKOP-16-2017-00870</t>
  </si>
  <si>
    <t>Beled Város Önkormányzata ASP központhoz való csatlakozása</t>
  </si>
  <si>
    <t>Saját forrás</t>
  </si>
  <si>
    <t>információs tábla könyvtárba</t>
  </si>
  <si>
    <t>2 db táblagép vásárlása óvodába</t>
  </si>
  <si>
    <t>porszívó vásárlása óvodába</t>
  </si>
  <si>
    <t>irodai székek beszerzése</t>
  </si>
  <si>
    <t>fényképezőgép beszerzése</t>
  </si>
  <si>
    <t>Orvosi rendelő nyílászáró cseréje</t>
  </si>
  <si>
    <t>Számítógép beszerzése pályázati önerő</t>
  </si>
  <si>
    <t>Beled Város teljes digitális állami ingatlan-nyilvántartási térképi adatbázis</t>
  </si>
  <si>
    <t>Damilos fűnyíró beszerzése</t>
  </si>
  <si>
    <t>Légkondícionáló berendezés gyógyszertárba (térítésmentes átadás)</t>
  </si>
  <si>
    <t>Parkolófelújítás</t>
  </si>
  <si>
    <t>2017. december 31.</t>
  </si>
  <si>
    <t>Emberi Erőforrás Támogatáskezelő</t>
  </si>
  <si>
    <t>Országos Mentőszolgálat Alapítvány</t>
  </si>
  <si>
    <t>"Elre" Horgász Egyesület</t>
  </si>
  <si>
    <t>"Elre" Horgász Egyesület 2016. évről áthúzódó</t>
  </si>
  <si>
    <t>Fidesz-Magyar Polgári Szövetség</t>
  </si>
  <si>
    <t>Beled Város Önkéntes Tűzolt Egyesülete</t>
  </si>
  <si>
    <t>Beledi Asztalitenisz és Tenisz Klub</t>
  </si>
  <si>
    <t xml:space="preserve">Beledi Sportegyesület </t>
  </si>
  <si>
    <t>Beledi Általános Iskola Diákönkormányzata</t>
  </si>
  <si>
    <t>Települési önkormányzatok szociális célú tüzelőanyag vásárlásának támogatása</t>
  </si>
  <si>
    <t>Közművelődési érdekeltségnövelő támogatás (felhalmozási)</t>
  </si>
  <si>
    <t>A 2017. évi általános működési és ágazati feladatok támogatásának alakulása jogcímenként</t>
  </si>
  <si>
    <t>Közúti személyszállítás (kerékpárút)</t>
  </si>
  <si>
    <t>Piac üzemeltetése</t>
  </si>
  <si>
    <t>Lakásfenntartással, lakhatással összefüggő ellátások (szociális tűzifa)</t>
  </si>
  <si>
    <t>Államháztartáson belüli megelőlegezés</t>
  </si>
  <si>
    <t xml:space="preserve"> -</t>
  </si>
  <si>
    <t>5.1 számú melléklet</t>
  </si>
  <si>
    <t xml:space="preserve">5.2 számú melléklet </t>
  </si>
  <si>
    <t>Mód. V., Teljesítés</t>
  </si>
  <si>
    <t xml:space="preserve">4. számú melléklet </t>
  </si>
  <si>
    <t>Utcanév táblatartók beszerzése (25 db)</t>
  </si>
  <si>
    <t>Gyermekek bölcsődei ellátása</t>
  </si>
  <si>
    <t xml:space="preserve">9. számú melléklet </t>
  </si>
  <si>
    <t>kapott támogatás</t>
  </si>
  <si>
    <t>elszámolás szerint megillető támogatás</t>
  </si>
  <si>
    <t>felhasznált támogatás</t>
  </si>
  <si>
    <t>támogatás kiutalás (+) / visszafizetés (-)</t>
  </si>
  <si>
    <t>Teljesítés 2017-ben</t>
  </si>
  <si>
    <t>6/b. számú melléklet</t>
  </si>
  <si>
    <t>7. számú melléklet</t>
  </si>
  <si>
    <t xml:space="preserve">8. számú melléklet </t>
  </si>
  <si>
    <t>10. számú melléklet</t>
  </si>
  <si>
    <t>14. számú melléklet</t>
  </si>
  <si>
    <t>Az önkormányzat által felvett adósságállomány alakulása</t>
  </si>
  <si>
    <t>lejárat és eszközök szerinti bontásban</t>
  </si>
  <si>
    <t xml:space="preserve">Adatok  forintban </t>
  </si>
  <si>
    <t>Sor-
szám</t>
  </si>
  <si>
    <t>Hitel jellege</t>
  </si>
  <si>
    <t>Hitel folyósítója</t>
  </si>
  <si>
    <t>Felvétel</t>
  </si>
  <si>
    <t xml:space="preserve">Lejárat </t>
  </si>
  <si>
    <t>Hitelállomány dec. 31-én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</si>
  <si>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</si>
  <si>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</si>
  <si>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</si>
  <si>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</si>
  <si>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</si>
  <si>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>Fejlesztési célú hosszú lejáratú hitel Ifjúság utca útfelújításához</t>
  </si>
  <si>
    <t>Kis-Rába Menti Tak.Szöv.</t>
  </si>
  <si>
    <t>2016.</t>
  </si>
  <si>
    <t>2019.</t>
  </si>
  <si>
    <t xml:space="preserve">Összesen </t>
  </si>
  <si>
    <t xml:space="preserve">18. számú melléklet </t>
  </si>
  <si>
    <t>19. számú melléklet</t>
  </si>
  <si>
    <t xml:space="preserve">23. számú melléklet </t>
  </si>
  <si>
    <t>Gazdasági Társaság</t>
  </si>
  <si>
    <t>Részesedések állománya</t>
  </si>
  <si>
    <t>Pannon-Víz Zrt.</t>
  </si>
  <si>
    <t>Beled COOP Kereskedelmi és Szolgáltató Rt</t>
  </si>
  <si>
    <t>22. számú melléklet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</si>
  <si>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</si>
  <si>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</si>
  <si>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Forintszámla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</si>
  <si>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</si>
  <si>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Devizaszámla egyenlege</t>
    </r>
  </si>
  <si>
    <r>
      <t xml:space="preserve"> </t>
    </r>
    <r>
      <rPr>
        <sz val="10"/>
        <rFont val="Times New Roman CE"/>
        <family val="1"/>
      </rPr>
      <t>Lekötött bankbetétek</t>
    </r>
  </si>
  <si>
    <t>Részesedések 2017.12.31.-i állománya</t>
  </si>
  <si>
    <t>Pénzkészlet 2017. január 1-jén
ebből:</t>
  </si>
  <si>
    <t>Záró pénzkészlet 2017. december 31-én
ebből: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</si>
  <si>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</si>
  <si>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</si>
  <si>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</si>
  <si>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</si>
  <si>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2018.</t>
  </si>
  <si>
    <t>2020. után</t>
  </si>
  <si>
    <t>A</t>
  </si>
  <si>
    <t>C</t>
  </si>
  <si>
    <t>D</t>
  </si>
  <si>
    <t>E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</si>
  <si>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</si>
  <si>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</si>
  <si>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</si>
  <si>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</si>
  <si>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</si>
  <si>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</si>
  <si>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Hiteltörlesztés (2016. évi)</t>
  </si>
  <si>
    <t>Beruházási kiadások beruházásonként</t>
  </si>
  <si>
    <t xml:space="preserve"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</t>
  </si>
  <si>
    <t>2016</t>
  </si>
  <si>
    <t>2017. évi Pünkösdi Fesztivál előkészítése, lebonyolítása 152/2016. (XII. 21.) határozat szerint</t>
  </si>
  <si>
    <t>TOP-3.1.1-15 Kerékpárút építése</t>
  </si>
  <si>
    <t>TOP-1.1.3-15 helyi termelői piac kialakítása Beleden</t>
  </si>
  <si>
    <t>Felújítási kiadások felújításonként</t>
  </si>
  <si>
    <t>TOP-3.2.1-15 Beled város középületeinek energetikai korszerűsítése (konyha, hivatal épülete)</t>
  </si>
  <si>
    <t>Ravatalozó előtető felújítása</t>
  </si>
  <si>
    <t>2017</t>
  </si>
  <si>
    <t>16.</t>
  </si>
  <si>
    <t>Járdafelújítás áthúzódó Vica + Beled Fő utca)</t>
  </si>
  <si>
    <t>17.</t>
  </si>
  <si>
    <t>Járdafelújítás BM pályázat (támogatás összege 15 mFt)</t>
  </si>
  <si>
    <t>18.</t>
  </si>
  <si>
    <t>Egyéb (Pl.: garancia és kezességvállalás, stb.)</t>
  </si>
  <si>
    <t>19.</t>
  </si>
  <si>
    <t>20.</t>
  </si>
  <si>
    <t>2017. előtti kifizetés</t>
  </si>
  <si>
    <t>Beled Város Önkormányata</t>
  </si>
  <si>
    <t>adósságot keletkeztető ügyleteiből eredő fizetési kötelezettség bemutatása</t>
  </si>
  <si>
    <t>Tárgyi eszközök, ingatlanok értékesítése</t>
  </si>
  <si>
    <t>Kezességvállalással kapcsolatos megtérülés</t>
  </si>
  <si>
    <t>Saját bevételek 50 %-a</t>
  </si>
  <si>
    <t>Adósságot keletkeztető ügyletek értéke</t>
  </si>
  <si>
    <t>Hitel felvételből származó tőketartozás</t>
  </si>
  <si>
    <t>Hitelfelvétel</t>
  </si>
  <si>
    <t>Adósságot keletkeztető ügyletek összértéke</t>
  </si>
  <si>
    <t>Tőkefizetési kötelezettség (2016. évi fejlesztési hitelfelvétel)</t>
  </si>
  <si>
    <t>Kamatfizetési kötelezettség (2016. évi fejlesztési hitelfelvétel)</t>
  </si>
  <si>
    <t>Egyéb fizetési kötelezettség (kezelési költség stb.)</t>
  </si>
  <si>
    <t>Tőkefizetési kötelezettség</t>
  </si>
  <si>
    <t xml:space="preserve">Kamatfizetési kötelezettség </t>
  </si>
  <si>
    <t>Tárgyévi fizetési kötelzettség összesen</t>
  </si>
  <si>
    <t>Fizetési kötelezettséggel csökkentett saját bevétel</t>
  </si>
  <si>
    <t>Maradványkimutatás</t>
  </si>
  <si>
    <t>Közös 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</si>
  <si>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</si>
  <si>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</si>
  <si>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</si>
  <si>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</si>
  <si>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</si>
  <si>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 xml:space="preserve">Alaptevékenység finanszírozási egyenlege </t>
  </si>
  <si>
    <t xml:space="preserve">Alaptevékenység maradványa </t>
  </si>
  <si>
    <t xml:space="preserve">Összes maradvány </t>
  </si>
  <si>
    <t>Alaptevékenység kötelezettségvállalással terhelt maradványa</t>
  </si>
  <si>
    <t xml:space="preserve">Alaptevékenység szabad maradványa </t>
  </si>
  <si>
    <t>#</t>
  </si>
  <si>
    <t>Előző időszak</t>
  </si>
  <si>
    <t>Tárgyi időszak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</si>
  <si>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</si>
  <si>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</si>
  <si>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</si>
  <si>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</si>
  <si>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</si>
  <si>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</si>
  <si>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</si>
  <si>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</si>
  <si>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</si>
  <si>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</si>
  <si>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</si>
  <si>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</si>
  <si>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</si>
  <si>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</si>
  <si>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</si>
  <si>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</si>
  <si>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</si>
  <si>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</si>
  <si>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</si>
  <si>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</si>
  <si>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</si>
  <si>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</si>
  <si>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</si>
  <si>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</si>
  <si>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</si>
  <si>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</si>
  <si>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</si>
  <si>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</si>
  <si>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</si>
  <si>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</si>
  <si>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</si>
  <si>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</si>
  <si>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</si>
  <si>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</si>
  <si>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</si>
  <si>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</si>
  <si>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</si>
  <si>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</si>
  <si>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</si>
  <si>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</si>
  <si>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</si>
  <si>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</si>
  <si>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</si>
  <si>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</si>
  <si>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</si>
  <si>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</si>
  <si>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</si>
  <si>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</si>
  <si>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</si>
  <si>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</si>
  <si>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</si>
  <si>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</si>
  <si>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</si>
  <si>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</si>
  <si>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</si>
  <si>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</si>
  <si>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</si>
  <si>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</si>
  <si>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</si>
  <si>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</si>
  <si>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</si>
  <si>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</si>
  <si>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</si>
  <si>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</si>
  <si>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</si>
  <si>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</si>
  <si>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</si>
  <si>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</si>
  <si>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</si>
  <si>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</si>
  <si>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</si>
  <si>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</si>
  <si>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</si>
  <si>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</si>
  <si>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</si>
  <si>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</si>
  <si>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</si>
  <si>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</si>
  <si>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</si>
  <si>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</si>
  <si>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</si>
  <si>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</si>
  <si>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</si>
  <si>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</si>
  <si>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</si>
  <si>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</si>
  <si>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</si>
  <si>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</si>
  <si>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</si>
  <si>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</si>
  <si>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</si>
  <si>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</si>
  <si>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</si>
  <si>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</si>
  <si>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</si>
  <si>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</si>
  <si>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</si>
  <si>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</si>
  <si>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</si>
  <si>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</si>
  <si>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</si>
  <si>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</si>
  <si>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</si>
  <si>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</si>
  <si>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</si>
  <si>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</si>
  <si>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</si>
  <si>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</si>
  <si>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</si>
  <si>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</si>
  <si>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</si>
  <si>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</si>
  <si>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</si>
  <si>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</si>
  <si>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</si>
  <si>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</si>
  <si>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</si>
  <si>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</si>
  <si>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</si>
  <si>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</si>
  <si>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</si>
  <si>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</si>
  <si>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</si>
  <si>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</si>
  <si>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</si>
  <si>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</si>
  <si>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</si>
  <si>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</si>
  <si>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</si>
  <si>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</si>
  <si>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</si>
  <si>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</si>
  <si>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</si>
  <si>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</si>
  <si>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</si>
  <si>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</si>
  <si>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</si>
  <si>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</si>
  <si>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</si>
  <si>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</si>
  <si>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</si>
  <si>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</si>
  <si>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</si>
  <si>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</si>
  <si>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</si>
  <si>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</si>
  <si>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</si>
  <si>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</si>
  <si>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</si>
  <si>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</si>
  <si>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</si>
  <si>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</si>
  <si>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</si>
  <si>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</si>
  <si>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</si>
  <si>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</si>
  <si>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</si>
  <si>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</si>
  <si>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</si>
  <si>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</si>
  <si>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</si>
  <si>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</si>
  <si>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</si>
  <si>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</si>
  <si>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</si>
  <si>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</si>
  <si>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</si>
  <si>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</si>
  <si>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</si>
  <si>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</si>
  <si>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</si>
  <si>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</si>
  <si>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</si>
  <si>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</si>
  <si>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</si>
  <si>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</si>
  <si>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</si>
  <si>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</si>
  <si>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</si>
  <si>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</si>
  <si>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</si>
  <si>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</si>
  <si>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</si>
  <si>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</si>
  <si>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</si>
  <si>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</si>
  <si>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</si>
  <si>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</si>
  <si>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</si>
  <si>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</si>
  <si>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</si>
  <si>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</si>
  <si>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</si>
  <si>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</si>
  <si>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</si>
  <si>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</si>
  <si>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</si>
  <si>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</si>
  <si>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</si>
  <si>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</si>
  <si>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</si>
  <si>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</si>
  <si>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</si>
  <si>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</si>
  <si>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</si>
  <si>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</si>
  <si>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</si>
  <si>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</si>
  <si>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</si>
  <si>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</si>
  <si>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</si>
  <si>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</si>
  <si>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</si>
  <si>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</si>
  <si>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</si>
  <si>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</si>
  <si>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</si>
  <si>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</si>
  <si>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</si>
  <si>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</si>
  <si>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</si>
  <si>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</si>
  <si>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</si>
  <si>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</si>
  <si>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</si>
  <si>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</si>
  <si>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</si>
  <si>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</si>
  <si>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</si>
  <si>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</si>
  <si>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</si>
  <si>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</si>
  <si>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</si>
  <si>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</si>
  <si>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</si>
  <si>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</si>
  <si>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</si>
  <si>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</si>
  <si>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</si>
  <si>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</si>
  <si>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</si>
  <si>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</si>
  <si>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</si>
  <si>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</si>
  <si>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</si>
  <si>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</si>
  <si>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</si>
  <si>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</si>
  <si>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</si>
  <si>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</si>
  <si>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</si>
  <si>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</si>
  <si>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</si>
  <si>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</si>
  <si>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</si>
  <si>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</si>
  <si>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</si>
  <si>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</si>
  <si>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</si>
  <si>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</si>
  <si>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</si>
  <si>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</si>
  <si>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</si>
  <si>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</si>
  <si>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</si>
  <si>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</si>
  <si>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</si>
  <si>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</si>
  <si>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</si>
  <si>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</si>
  <si>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</si>
  <si>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</si>
  <si>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</si>
  <si>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</si>
  <si>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</si>
  <si>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</si>
  <si>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</si>
  <si>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</si>
  <si>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</si>
  <si>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</si>
  <si>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</si>
  <si>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</si>
  <si>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</si>
  <si>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</si>
  <si>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</si>
  <si>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</si>
  <si>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</si>
  <si>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</si>
  <si>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</si>
  <si>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</si>
  <si>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</si>
  <si>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</si>
  <si>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</si>
  <si>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</si>
  <si>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</si>
  <si>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</si>
  <si>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</si>
  <si>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</si>
  <si>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</si>
  <si>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</si>
  <si>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</si>
  <si>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</si>
  <si>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</si>
  <si>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</si>
  <si>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</si>
  <si>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</si>
  <si>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</si>
  <si>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</si>
  <si>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</si>
  <si>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</si>
  <si>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</si>
  <si>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</si>
  <si>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</si>
  <si>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</si>
  <si>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</si>
  <si>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</si>
  <si>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</si>
  <si>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</si>
  <si>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</si>
  <si>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</si>
  <si>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</si>
  <si>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</si>
  <si>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</si>
  <si>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</si>
  <si>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</si>
  <si>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</si>
  <si>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</si>
  <si>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</si>
  <si>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</si>
  <si>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</si>
  <si>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</si>
  <si>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</si>
  <si>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</si>
  <si>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</si>
  <si>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</si>
  <si>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</si>
  <si>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</si>
  <si>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</si>
  <si>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</si>
  <si>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</si>
  <si>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</si>
  <si>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</si>
  <si>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</si>
  <si>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</si>
  <si>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</si>
  <si>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</si>
  <si>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</si>
  <si>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</si>
  <si>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</si>
  <si>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</si>
  <si>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</si>
  <si>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</si>
  <si>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</si>
  <si>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</si>
  <si>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</si>
  <si>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</si>
  <si>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</si>
  <si>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G/III/1 Megszűnés miatt átvett lekötött betétek könyv szerinti értéke és változása</t>
  </si>
  <si>
    <t>180</t>
  </si>
  <si>
    <t>G/III/2 Megszűnés miatt átvett egyéb pénzeszközök könyv szerinti értéke és változása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</si>
  <si>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</si>
  <si>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</si>
  <si>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</si>
  <si>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</si>
  <si>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</si>
  <si>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</si>
  <si>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184</t>
  </si>
  <si>
    <t>G/V Eszközök értékhelyesbítésének forrása</t>
  </si>
  <si>
    <t>185</t>
  </si>
  <si>
    <t>G/VI Mérleg szerinti eredmény</t>
  </si>
  <si>
    <t>186</t>
  </si>
  <si>
    <t>G/ SAJÁT TŐKE  (= G/I+…+G/VI)</t>
  </si>
  <si>
    <t>187</t>
  </si>
  <si>
    <t>H/I/1 Költségvetési évben esedékes kötelezettségek személyi juttatásokra</t>
  </si>
  <si>
    <t>188</t>
  </si>
  <si>
    <t>H/I/2 Költségvetési évben esedékes kötelezettségek munkaadókat terhelő járulékokra és szociális hozzájárulási adóra</t>
  </si>
  <si>
    <t>189</t>
  </si>
  <si>
    <t>H/I/3 Költségvetési évben esedékes kötelezettségek dologi kiadásokra</t>
  </si>
  <si>
    <t>190</t>
  </si>
  <si>
    <t>H/I/4 Költségvetési évben esedékes kötelezettségek ellátottak pénzbeli juttatásaira</t>
  </si>
  <si>
    <t>191</t>
  </si>
  <si>
    <t>H/I/5 Költségvetési évben esedékes kötelezettségek egyéb működési célú kiadásokra (&gt;=H/I/5a+H/I/5b)</t>
  </si>
  <si>
    <t>192</t>
  </si>
  <si>
    <t>H/I/5a - ebből: költségvetési évben esedékes kötelezettségek működési célú visszatérítendő támogatások, kölcsönök törlesztésére államháztartáson belülre</t>
  </si>
  <si>
    <t>193</t>
  </si>
  <si>
    <t>H/I/5b - ebből: költségvetési évben esedékes kötelezettségek működési célú támogatásokra az Európai Uniónak</t>
  </si>
  <si>
    <t>194</t>
  </si>
  <si>
    <t>H/I/6 Költségvetési évben esedékes kötelezettségek beruházásokra</t>
  </si>
  <si>
    <t>195</t>
  </si>
  <si>
    <t>H/I/7 Költségvetési évben esedékes kötelezettségek felújításokra</t>
  </si>
  <si>
    <t>196</t>
  </si>
  <si>
    <t>H/I/8 Költségvetési évben esedékes kötelezettségek egyéb felhalmozási célú kiadásokra (&gt;=H/I/8a+H/I/8b)</t>
  </si>
  <si>
    <t>197</t>
  </si>
  <si>
    <t>H/I/8a - ebből: költségvetési évben esedékes kötelezettségek felhalmozási célú visszatérítendő támogatások, kölcsönök törlesztésére államháztartáson belülre</t>
  </si>
  <si>
    <t>198</t>
  </si>
  <si>
    <t>H/I/8b - ebből: költségvetési évben esedékes kötelezettségek felhalmozási célú támogatásokra az Európai Uniónak</t>
  </si>
  <si>
    <t>199</t>
  </si>
  <si>
    <t>H/I/9 Költségvetési évben esedékes kötelezettségek finanszírozási kiadásokra (&gt;=H/I/9a+…+H/I/9l)</t>
  </si>
  <si>
    <t>200</t>
  </si>
  <si>
    <t>H/I/9a - ebből: költségvetési évben esedékes kötelezettségek hosszú lejáratú hitelek, kölcsönök törlesztésére pénzügyi vállalkozásnak</t>
  </si>
  <si>
    <t>201</t>
  </si>
  <si>
    <t>H/I/9b - ebből: költségvetési évben esedékes kötelezettségek rövid lejáratú hitelek, kölcsönök törlesztésére pénzügyi vállalkozásnak</t>
  </si>
  <si>
    <t>202</t>
  </si>
  <si>
    <t>H/I/9c - ebből: költségvetési évben esedékes kötelezettségek kincstárjegyek beváltására</t>
  </si>
  <si>
    <t>203</t>
  </si>
  <si>
    <t>H/I/9d - ebből: költségvetési évben esedékes kötelezettségek éven belüli lejáratú belföldi értékpapírok beváltására</t>
  </si>
  <si>
    <t>204</t>
  </si>
  <si>
    <t>H/I/9e - ebből: költségvetési évben esedékes kötelezettségek belföldi kötvények beváltására</t>
  </si>
  <si>
    <t>205</t>
  </si>
  <si>
    <t>H/I/9f - ebből: költségvetési évben esedékes kötelezettségek éven túli lejáratú belföldi értékpapírok beváltására</t>
  </si>
  <si>
    <t>206</t>
  </si>
  <si>
    <t>H/I/9g - ebből: költségvetési évben esedékes kötelezettségek államháztartáson belüli megelőlegezések visszafizetésére</t>
  </si>
  <si>
    <t>207</t>
  </si>
  <si>
    <t>H/I/9h - ebből: költségvetési évben esedékes kötelezettségek pénzügyi lízing kiadásaira</t>
  </si>
  <si>
    <t>208</t>
  </si>
  <si>
    <t>H/I/9i - ebből: költségvetési évben esedékes kötelezettségek külföldi értékpapírok beváltására</t>
  </si>
  <si>
    <t>209</t>
  </si>
  <si>
    <t>H/I/9j - ebből: költségvetési évben esedékes kötelezettségek hitelek, kölcsönök törlesztésére külföldi kormányoknak és nemzetközi szervezeteknek</t>
  </si>
  <si>
    <t>210</t>
  </si>
  <si>
    <t>H/I/9k - ebből: költségvetési évben esedékes kötelezettségek hitelek, kölcsönök törlesztésére külföldi pénzintézeteknek</t>
  </si>
  <si>
    <t>211</t>
  </si>
  <si>
    <t>H/I/9l - ebből: költségvetési évben esedékes kötelezettségek váltókiadásokra</t>
  </si>
  <si>
    <t>212</t>
  </si>
  <si>
    <t>H/I Költségvetési évben esedékes kötelezettségek (=H/I/1+…+H/I/9)</t>
  </si>
  <si>
    <t>213</t>
  </si>
  <si>
    <t>H/II/1 Költségvetési évet követően esedékes kötelezettségek személyi juttatásokra</t>
  </si>
  <si>
    <t>214</t>
  </si>
  <si>
    <t>H/II/2 Költségvetési évet követően esedékes kötelezettségek munkaadókat terhelő járulékokra és szociális hozzájárulási adóra</t>
  </si>
  <si>
    <t>215</t>
  </si>
  <si>
    <t>H/II/3 Költségvetési évet követően esedékes kötelezettségek dologi kiadásokra</t>
  </si>
  <si>
    <t>216</t>
  </si>
  <si>
    <t>H/II/4 Költségvetési évet követően esedékes kötelezettségek ellátottak pénzbeli juttatásaira</t>
  </si>
  <si>
    <t>217</t>
  </si>
  <si>
    <t>H/II/5 Költségvetési évet követően esedékes kötelezettségek egyéb működési célú kiadásokra (&gt;=H/II/5a+H/II/5b)</t>
  </si>
  <si>
    <t>218</t>
  </si>
  <si>
    <t>H/II/5a - ebből: költségvetési évet követően esedékes kötelezettségek működési célú visszatérítendő támogatások, kölcsönök törlesztésére államháztartáson belülre</t>
  </si>
  <si>
    <t>219</t>
  </si>
  <si>
    <t>H/II/5b - ebből: költségvetési évet követően esedékes kötelezettségek működési célú támogatásokra az Európai Uniónak</t>
  </si>
  <si>
    <t>220</t>
  </si>
  <si>
    <t>H/II/6 Költségvetési évet követően esedékes kötelezettségek beruházásokra</t>
  </si>
  <si>
    <t>221</t>
  </si>
  <si>
    <t>H/II/7 Költségvetési évet követően esedékes kötelezettségek felújításokra</t>
  </si>
  <si>
    <t>222</t>
  </si>
  <si>
    <t>H/II/8 Költségvetési évet követően esedékes kötelezettségek egyéb felhalmozási célú kiadásokra (&gt;=H/II/8a+H/II/8b)</t>
  </si>
  <si>
    <t>223</t>
  </si>
  <si>
    <t>H/II/8a - ebből: költségvetési évet követően esedékes kötelezettségek felhalmozási célú visszatérítendő támogatások, kölcsönök törlesztésére államháztartáson belülre</t>
  </si>
  <si>
    <t>224</t>
  </si>
  <si>
    <t>H/II/8b - ebből: költségvetési évet követően esedékes kötelezettségek felhalmozási célú támogatásokra az Európai Uniónak</t>
  </si>
  <si>
    <t>225</t>
  </si>
  <si>
    <t>H/II/9 Költségvetési évet követően esedékes kötelezettségek finanszírozási kiadásokra (&gt;=H/II/9a+…+H/II/9j)</t>
  </si>
  <si>
    <t>226</t>
  </si>
  <si>
    <t>H/II/9a - ebből: költségvetési évet követően esedékes kötelezettségek hosszú lejáratú hitelek, kölcsönök törlesztésére pénzügyi vállalkozásnak</t>
  </si>
  <si>
    <t>227</t>
  </si>
  <si>
    <t>H/II/9b - ebből: költségvetési évet követően esedékes kötelezettségek kincstárjegyek beváltására</t>
  </si>
  <si>
    <t>228</t>
  </si>
  <si>
    <t>H/II/9c - ebből: költségvetési évet követően esedékes kötelezettségek belföldi kötvények beváltására</t>
  </si>
  <si>
    <t>229</t>
  </si>
  <si>
    <t>H/II/9d - ebből: költségvetési évet követően esedékes kötelezettségek éven túli lejáratú belföldi értékpapírok beváltására</t>
  </si>
  <si>
    <t>230</t>
  </si>
  <si>
    <t>H/II/9e - ebből: költségvetési évet követően esedékes kötelezettségek államháztartáson belüli megelőlegezések visszafizetésére</t>
  </si>
  <si>
    <t>231</t>
  </si>
  <si>
    <t>H/II/9f - ebből: költségvetési évet követően esedékes kötelezettségek pénzügyi lízing kiadásaira</t>
  </si>
  <si>
    <t>232</t>
  </si>
  <si>
    <t>H/II/9g - ebből: költségvetési évet követően esedékes kötelezettségek külföldi értékpapírok beváltására</t>
  </si>
  <si>
    <t>233</t>
  </si>
  <si>
    <t>H/II/9h - ebből: költségvetési évet követően esedékes kötelezettségek hitelek, kölcsönök törlesztésére külföldi kormányoknak és nemzetközi szervezeteknek</t>
  </si>
  <si>
    <t>234</t>
  </si>
  <si>
    <t>H/II/9i - ebből: költségvetési évet követően esedékes kötelezettségek külföldi hitelek, kölcsönök törlesztésére külföldi pénzintézeteknek</t>
  </si>
  <si>
    <t>235</t>
  </si>
  <si>
    <t>H/II/9j - ebből: költségvetési évet követően esedékes kötelezettségek váltókiadásokra</t>
  </si>
  <si>
    <t>236</t>
  </si>
  <si>
    <t>H/II Költségvetési évet követően esedékes kötelezettségek (=H/II/1+…+H/II/9)</t>
  </si>
  <si>
    <t>237</t>
  </si>
  <si>
    <t>H/III/1 Kapott előlegek</t>
  </si>
  <si>
    <t>238</t>
  </si>
  <si>
    <t>H/III/2 Továbbadási célból folyósított támogatások, ellátások elszámolása</t>
  </si>
  <si>
    <t>239</t>
  </si>
  <si>
    <t>H/III/3 Más szervezetet megillető bevételek elszámolása</t>
  </si>
  <si>
    <t>240</t>
  </si>
  <si>
    <t>H/III/4 Forgótőke elszámolása (Kincstár)</t>
  </si>
  <si>
    <t>241</t>
  </si>
  <si>
    <t>H/III/5 Nemzeti vagyonba tartozó befektetett eszközökkel kapcsolatos egyes kötelezettség jellegű sajátos elszámolások</t>
  </si>
  <si>
    <t>242</t>
  </si>
  <si>
    <t>H/III/6 Nem társadalombiztosítás pénzügyi alapjait terhelő kifizetett ellátások megtérítésének elszámolása</t>
  </si>
  <si>
    <t>243</t>
  </si>
  <si>
    <t>H/III/7 Munkáltató által korengedményes nyugdíjhoz megfizetett hozzájárulás elszámolása</t>
  </si>
  <si>
    <t>244</t>
  </si>
  <si>
    <t>H/III/8 Letétre, megőrzésre, fedezetkezelésre átvett pénzeszközök, biztosítékok</t>
  </si>
  <si>
    <t>245</t>
  </si>
  <si>
    <t>H/III/9 Nemzetközi támogatási programok pénzeszközei</t>
  </si>
  <si>
    <t>246</t>
  </si>
  <si>
    <t>H/III/10 Államadósság Kezelő Központ Zrt.-nél elhelyezett fedezeti betétek</t>
  </si>
  <si>
    <t>247</t>
  </si>
  <si>
    <t>H/III Kötelezettség jellegű sajátos elszámolások (=H/III/1+…+H/III/10)</t>
  </si>
  <si>
    <t>248</t>
  </si>
  <si>
    <t>H) KÖTELEZETTSÉGEK (=H/I+H/II+H/III)</t>
  </si>
  <si>
    <t>249</t>
  </si>
  <si>
    <t>I) KINCSTÁRI SZÁMLAVEZETÉSSEL KAPCSOLATOS ELSZÁMOLÁSOK</t>
  </si>
  <si>
    <t>250</t>
  </si>
  <si>
    <t>J/1 Eredményszemléletű bevételek passzív időbeli elhatárolása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</si>
  <si>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</si>
  <si>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</si>
  <si>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</si>
  <si>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</si>
  <si>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</si>
  <si>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</si>
  <si>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</si>
  <si>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</si>
  <si>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Közös hivatal</t>
  </si>
  <si>
    <t>Konszolidált mérleg</t>
  </si>
  <si>
    <t>12. számú melléklet</t>
  </si>
  <si>
    <t>Beled Város Önkormányzata</t>
  </si>
  <si>
    <t>Mérleg</t>
  </si>
  <si>
    <t>VAGYONKIMUTATÁS                                                                                                                                                                                            a könyvviteli mérlegben  értékkel szereplő eszközökről                                                                                                                              2017. év</t>
  </si>
  <si>
    <t>Adatok:  forintban!</t>
  </si>
  <si>
    <t>ESZKÖZÖK</t>
  </si>
  <si>
    <t>Bruttó</t>
  </si>
  <si>
    <t>Nettó</t>
  </si>
  <si>
    <t xml:space="preserve"> érték</t>
  </si>
  <si>
    <t xml:space="preserve">A </t>
  </si>
  <si>
    <t xml:space="preserve"> I. Immateriális javak (02+03+04+05)</t>
  </si>
  <si>
    <t>01.</t>
  </si>
  <si>
    <t>1.1. Forgalomképtelen immateriális javak</t>
  </si>
  <si>
    <t>02.</t>
  </si>
  <si>
    <t>1.2. Nemzetgazdasági szempontból kiemelt jelentőségű  immateriális javak
       vagyoni értékű jogok</t>
  </si>
  <si>
    <t>03.</t>
  </si>
  <si>
    <t>1.3. Korlátozottan forgalomképes immateriális javak</t>
  </si>
  <si>
    <t>04.</t>
  </si>
  <si>
    <t>1.4. Üzleti ingatlanok és kapcsolódó  immateriális javak</t>
  </si>
  <si>
    <t>05.</t>
  </si>
  <si>
    <t>II. Tárgyi eszközök (07+12+17+22+27)</t>
  </si>
  <si>
    <t>06.</t>
  </si>
  <si>
    <t>1. Ingatlanok és kapcsolódó vagyoni értékű jogok   (08+09+10+11)</t>
  </si>
  <si>
    <t>07.</t>
  </si>
  <si>
    <t>1.1. Forgalomképtelen ingatlanok és kapcsolódó vagyoni értékű jogok</t>
  </si>
  <si>
    <t>08.</t>
  </si>
  <si>
    <t>1.2. Nemzetgazdasági szempontból kiemelt jelentőségű ingatlanok és kapcsolódó 
       vagyoni értékű jogok</t>
  </si>
  <si>
    <t>09.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</si>
  <si>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</si>
  <si>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</si>
  <si>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(13+14+15+16)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</si>
  <si>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</si>
  <si>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</si>
  <si>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</si>
  <si>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</si>
  <si>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(18+19+20+21)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</si>
  <si>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</si>
  <si>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</si>
  <si>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</si>
  <si>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</si>
  <si>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21.</t>
  </si>
  <si>
    <t>4. Beruházások, felújítások (23+24+25+26)</t>
  </si>
  <si>
    <t>22.</t>
  </si>
  <si>
    <t>4.1. Forgalomképtelen beruházások, felújítások</t>
  </si>
  <si>
    <t>23.</t>
  </si>
  <si>
    <t>4.2. Nemzetgazdasági szempontból kiemelt jelentőségű beruházások, felújítások</t>
  </si>
  <si>
    <t>24.</t>
  </si>
  <si>
    <t>4.3. Korlátozottan forgalomképes beruházások, felújítások</t>
  </si>
  <si>
    <t>25.</t>
  </si>
  <si>
    <t>4.4. Üzleti beruházások, felújítások</t>
  </si>
  <si>
    <t>26.</t>
  </si>
  <si>
    <t>5. Tárgyi eszközök értékhelyesbítése (28+29+30+31)</t>
  </si>
  <si>
    <t>27.</t>
  </si>
  <si>
    <t>5.1. Forgalomképtelen tárgyi eszközök értékhelyesbítése</t>
  </si>
  <si>
    <t>28.</t>
  </si>
  <si>
    <t>5.2. Nemzetgazdasági szempontból kiemelt jelentőségű tárgyi eszközök 
       értékhelyesbítése</t>
  </si>
  <si>
    <t>29.</t>
  </si>
  <si>
    <t>5.3. Korlátozottan forgalomképes tárgyi eszközök értékhelyesbítése</t>
  </si>
  <si>
    <t>30.</t>
  </si>
  <si>
    <t>5.4. Üzleti tárgyi eszközök értékhelyesbítése</t>
  </si>
  <si>
    <t>31.</t>
  </si>
  <si>
    <t>III. Befektetett pénzügyi eszközök (33+38+43)</t>
  </si>
  <si>
    <t>32.</t>
  </si>
  <si>
    <t>1. Tartós részesedések (34+35+36+37)</t>
  </si>
  <si>
    <t>33.</t>
  </si>
  <si>
    <t>1.1. Forgalomképtelen tartós részesedések</t>
  </si>
  <si>
    <t>34.</t>
  </si>
  <si>
    <t>1.2. Nemzetgazdasági szempontból kiemelt jelentőségű tartós részesedések</t>
  </si>
  <si>
    <t>35.</t>
  </si>
  <si>
    <t>1.3. Korlátozottan forgalomképes tartós részesedések</t>
  </si>
  <si>
    <t>36.</t>
  </si>
  <si>
    <t>1.4. Üzleti tartós részesedések</t>
  </si>
  <si>
    <t>37.</t>
  </si>
  <si>
    <t>2. Tartós hitelviszonyt megtestesítő értékpapírok (39+40+41+42)</t>
  </si>
  <si>
    <t>38.</t>
  </si>
  <si>
    <t>2.1. Forgalomképtelen tartós hitelviszonyt megtestesítő értékpapírok</t>
  </si>
  <si>
    <t>39.</t>
  </si>
  <si>
    <t>2.2. Nemzetgazdasági szempontból kiemelt jelentőségű tartós hitelviszonyt 
       megtestesítő értékpapírok</t>
  </si>
  <si>
    <t>40.</t>
  </si>
  <si>
    <t>2.3. Korlátozottan forgalomképes tartós hitelviszonyt megtestesítő értékpapírok</t>
  </si>
  <si>
    <t>41.</t>
  </si>
  <si>
    <t>2.4. Üzleti tartós hitelviszonyt megtestesítő értékpapírok</t>
  </si>
  <si>
    <t>42.</t>
  </si>
  <si>
    <t>3. Befektetett pénzügyi eszközök értékhelyesbítése (44+45+46+47)</t>
  </si>
  <si>
    <t>43.</t>
  </si>
  <si>
    <t>3.1. Forgalomképtelen befektetett pénzügyi eszközök értékhelyesbítése</t>
  </si>
  <si>
    <t>44.</t>
  </si>
  <si>
    <t>3.2. Nemzetgazdasági szempontból kiemelt jelentőségű befektetett pénzügyi 
       eszközök értékhelyesbítése</t>
  </si>
  <si>
    <t>45.</t>
  </si>
  <si>
    <t>3.3. Korlátozottan forgalomképes befektetett pénzügyi eszközök értékhelyesbítése</t>
  </si>
  <si>
    <t>46.</t>
  </si>
  <si>
    <t>3.4. Üzleti befektetett pénzügyi eszközök értékhelyesbítése</t>
  </si>
  <si>
    <t>47.</t>
  </si>
  <si>
    <t>IV. Koncesszióba, vagyonkezelésbe adott eszközök</t>
  </si>
  <si>
    <t>48.</t>
  </si>
  <si>
    <t>A) NEMZETI VAGYONBA TARTOZÓ BEFEKTETETT ESZKÖZÖK 
     (01+06+32+48)</t>
  </si>
  <si>
    <t>49.</t>
  </si>
  <si>
    <t>I. Készletek</t>
  </si>
  <si>
    <t>50.</t>
  </si>
  <si>
    <t>II. Értékpapírok</t>
  </si>
  <si>
    <t>51.</t>
  </si>
  <si>
    <t>B) NEMZETI VAGYONBA TARTOZÓ FORGÓESZKÖZÖK (50+51)</t>
  </si>
  <si>
    <t>52.</t>
  </si>
  <si>
    <t>I. Lekötött bankbetétek</t>
  </si>
  <si>
    <t>53.</t>
  </si>
  <si>
    <t>II. Pénztárak, csekkek, betétkönyvek</t>
  </si>
  <si>
    <t>54.</t>
  </si>
  <si>
    <t>III. Forintszámlák</t>
  </si>
  <si>
    <t>55.</t>
  </si>
  <si>
    <t>IV. Devizaszámlák</t>
  </si>
  <si>
    <t>56.</t>
  </si>
  <si>
    <t>V. Idegen pénzeszköz</t>
  </si>
  <si>
    <t>57.</t>
  </si>
  <si>
    <t>C) PÉNZESZKÖZÖK (53+54+55+56+57)</t>
  </si>
  <si>
    <t>58.</t>
  </si>
  <si>
    <t>I. Költségvetési évben esedékes követelések</t>
  </si>
  <si>
    <t>59.</t>
  </si>
  <si>
    <t>II. Költségvetési évet követően esedékes követelések</t>
  </si>
  <si>
    <t>60.</t>
  </si>
  <si>
    <t>III. Követelés jellegű sajátos elszámolások</t>
  </si>
  <si>
    <t>61.</t>
  </si>
  <si>
    <t>D) KÖVETELÉSEK (59+60+61)</t>
  </si>
  <si>
    <t>62.</t>
  </si>
  <si>
    <t>I. December havi illetmények, munkabérek elszámolása</t>
  </si>
  <si>
    <t>63.</t>
  </si>
  <si>
    <t>II. Utalványok, bérletek és más hasonló, készpénz-helyettesítő fizetési 
     eszköznek nem minősülő eszközök elszámolásai</t>
  </si>
  <si>
    <t>64.</t>
  </si>
  <si>
    <t>E) EGYÉB SAJÁTOS ESZKÖZOLDALI ELSZÁMOLÁSOK (63+64)</t>
  </si>
  <si>
    <t>65.</t>
  </si>
  <si>
    <t>F) AKTÍV IDŐBELI ELHATÁROLÁSOK</t>
  </si>
  <si>
    <t>66.</t>
  </si>
  <si>
    <t>ESZKÖZÖK ÖSSZESEN  (49+52+58+62+65+66)</t>
  </si>
  <si>
    <t>67.</t>
  </si>
  <si>
    <t>Beledi Közös Önkormányzati Hivatal</t>
  </si>
  <si>
    <t>VAGYONKIMUTATÁS 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2017. év</t>
  </si>
  <si>
    <t>Adatok: forintban!</t>
  </si>
  <si>
    <t>Mennyiség
(db)</t>
  </si>
  <si>
    <t>Bruttó értéke</t>
  </si>
  <si>
    <t>Könyv szerinti értéke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</si>
  <si>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</si>
  <si>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</si>
  <si>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</si>
  <si>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</si>
  <si>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</si>
  <si>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</si>
  <si>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</si>
  <si>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</si>
  <si>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</si>
  <si>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</si>
  <si>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</si>
  <si>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</si>
  <si>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</si>
  <si>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</si>
  <si>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</si>
  <si>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</si>
  <si>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</si>
  <si>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</si>
  <si>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</si>
  <si>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</si>
  <si>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</si>
  <si>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</si>
  <si>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</si>
  <si>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</si>
  <si>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</si>
  <si>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</si>
  <si>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</si>
  <si>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</si>
  <si>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</si>
  <si>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</si>
  <si>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</si>
  <si>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</si>
  <si>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J) PASSZÍV IDŐBELI ELHATÁROLÁSOK</t>
  </si>
  <si>
    <t>FORRÁSOK ÖSSZESEN  (07+11+12+13)</t>
  </si>
  <si>
    <t>VAGYONKIMUTATÁS     az érték nélkül nyilvántartott eszközökről                                                                                                                                           2017. év</t>
  </si>
  <si>
    <t>I.1.a) Önkormányzati hivatal működésének támogatása</t>
  </si>
  <si>
    <t>3 da.) Házi segítségnyújtás - szociális segítés</t>
  </si>
  <si>
    <t>3 db.) Házi segítségnyújtás - személyi gondozás</t>
  </si>
  <si>
    <t>Települési Önkormányzatok Országos Szövetsége tagdíj</t>
  </si>
  <si>
    <t>Tárgyévi fizetési kötelezettség</t>
  </si>
  <si>
    <t>Előző év(ek)ben keletkezett tárgyévet fizetési kötelezettség összesen</t>
  </si>
  <si>
    <t>Előző év(ek)ben keletkezett tárgyévet fizetési kötelezettség</t>
  </si>
  <si>
    <t>2017. év előtti  ügyletből származó érték</t>
  </si>
  <si>
    <t>2017. évi ügyletből származó érték</t>
  </si>
  <si>
    <t xml:space="preserve">1. számú melléklet </t>
  </si>
  <si>
    <t>2. számú melléklet</t>
  </si>
  <si>
    <t xml:space="preserve">3. számú melléklet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</si>
</sst>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  <numFmt numFmtId="176" formatCode="0.0%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0000\ _F_t_-;\-* #,##0.00000\ _F_t_-;_-* &quot;-&quot;??\ _F_t_-;_-@_-"/>
    <numFmt numFmtId="180" formatCode="#,###__"/>
    <numFmt numFmtId="181" formatCode="00"/>
    <numFmt numFmtId="182" formatCode="#,###__;\-#,###__"/>
    <numFmt numFmtId="183" formatCode="#,###,_F_t;\-#,###,_F_t"/>
    <numFmt numFmtId="184" formatCode="#,###.00"/>
    <numFmt numFmtId="185" formatCode="#,###\ _F_t;\-#,###\ _F_t"/>
  </numFmts>
  <fonts count="151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color indexed="10"/>
      <name val="Times New Roman"/>
      <family val="1"/>
    </font>
    <font>
      <sz val="10"/>
      <name val="Wingdings"/>
      <family val="0"/>
    </font>
    <font>
      <sz val="7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12"/>
      <color rgb="FFFF0000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31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 style="medium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29" fillId="26" borderId="0" applyNumberFormat="0" applyBorder="0" applyAlignment="0" applyProtection="0"/>
    <xf numFmtId="0" fontId="97" fillId="12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0" borderId="0" applyNumberFormat="0" applyBorder="0" applyAlignment="0" applyProtection="0"/>
    <xf numFmtId="0" fontId="97" fillId="12" borderId="0" applyNumberFormat="0" applyBorder="0" applyAlignment="0" applyProtection="0"/>
    <xf numFmtId="0" fontId="97" fillId="9" borderId="0" applyNumberFormat="0" applyBorder="0" applyAlignment="0" applyProtection="0"/>
    <xf numFmtId="0" fontId="97" fillId="29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0" fontId="108" fillId="33" borderId="0" applyNumberFormat="0" applyBorder="0" applyAlignment="0" applyProtection="0"/>
    <xf numFmtId="0" fontId="130" fillId="34" borderId="1" applyNumberFormat="0" applyAlignment="0" applyProtection="0"/>
    <xf numFmtId="0" fontId="110" fillId="35" borderId="2" applyNumberFormat="0" applyAlignment="0" applyProtection="0"/>
    <xf numFmtId="0" fontId="103" fillId="36" borderId="3" applyNumberFormat="0" applyAlignment="0" applyProtection="0"/>
    <xf numFmtId="0" fontId="131" fillId="0" borderId="0" applyNumberFormat="0" applyFill="0" applyBorder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4" fillId="0" borderId="0" applyNumberFormat="0" applyFill="0" applyBorder="0" applyAlignment="0" applyProtection="0"/>
    <xf numFmtId="0" fontId="135" fillId="37" borderId="7" applyNumberFormat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05" fillId="12" borderId="0" applyNumberFormat="0" applyBorder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2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7" fillId="0" borderId="11" applyNumberFormat="0" applyFill="0" applyAlignment="0" applyProtection="0"/>
    <xf numFmtId="0" fontId="98" fillId="19" borderId="2" applyNumberFormat="0" applyAlignment="0" applyProtection="0"/>
    <xf numFmtId="0" fontId="0" fillId="38" borderId="12" applyNumberFormat="0" applyFont="0" applyAlignment="0" applyProtection="0"/>
    <xf numFmtId="0" fontId="129" fillId="39" borderId="0" applyNumberFormat="0" applyBorder="0" applyAlignment="0" applyProtection="0"/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29" fillId="42" borderId="0" applyNumberFormat="0" applyBorder="0" applyAlignment="0" applyProtection="0"/>
    <xf numFmtId="0" fontId="129" fillId="43" borderId="0" applyNumberFormat="0" applyBorder="0" applyAlignment="0" applyProtection="0"/>
    <xf numFmtId="0" fontId="129" fillId="44" borderId="0" applyNumberFormat="0" applyBorder="0" applyAlignment="0" applyProtection="0"/>
    <xf numFmtId="0" fontId="138" fillId="45" borderId="0" applyNumberFormat="0" applyBorder="0" applyAlignment="0" applyProtection="0"/>
    <xf numFmtId="0" fontId="139" fillId="46" borderId="13" applyNumberFormat="0" applyAlignment="0" applyProtection="0"/>
    <xf numFmtId="0" fontId="68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4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9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59" fillId="0" borderId="0">
      <alignment/>
      <protection/>
    </xf>
    <xf numFmtId="0" fontId="76" fillId="0" borderId="0">
      <alignment/>
      <protection/>
    </xf>
    <xf numFmtId="0" fontId="0" fillId="10" borderId="15" applyNumberFormat="0" applyAlignment="0" applyProtection="0"/>
    <xf numFmtId="0" fontId="106" fillId="35" borderId="16" applyNumberFormat="0" applyAlignment="0" applyProtection="0"/>
    <xf numFmtId="0" fontId="14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2" fillId="47" borderId="0" applyNumberFormat="0" applyBorder="0" applyAlignment="0" applyProtection="0"/>
    <xf numFmtId="0" fontId="143" fillId="48" borderId="0" applyNumberFormat="0" applyBorder="0" applyAlignment="0" applyProtection="0"/>
    <xf numFmtId="0" fontId="144" fillId="46" borderId="1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4" fillId="0" borderId="0" applyNumberFormat="0" applyFill="0" applyBorder="0" applyAlignment="0" applyProtection="0"/>
  </cellStyleXfs>
  <cellXfs count="17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3">
      <alignment/>
      <protection/>
    </xf>
    <xf numFmtId="0" fontId="12" fillId="0" borderId="0" xfId="103" applyFont="1" applyBorder="1" applyAlignment="1">
      <alignment horizontal="center"/>
      <protection/>
    </xf>
    <xf numFmtId="0" fontId="11" fillId="0" borderId="19" xfId="103" applyBorder="1">
      <alignment/>
      <protection/>
    </xf>
    <xf numFmtId="0" fontId="17" fillId="0" borderId="0" xfId="103" applyFont="1" applyAlignment="1">
      <alignment horizontal="center"/>
      <protection/>
    </xf>
    <xf numFmtId="0" fontId="11" fillId="0" borderId="0" xfId="103" applyAlignment="1">
      <alignment vertical="center"/>
      <protection/>
    </xf>
    <xf numFmtId="0" fontId="15" fillId="0" borderId="0" xfId="103" applyFont="1">
      <alignment/>
      <protection/>
    </xf>
    <xf numFmtId="0" fontId="13" fillId="0" borderId="0" xfId="103" applyFont="1">
      <alignment/>
      <protection/>
    </xf>
    <xf numFmtId="0" fontId="11" fillId="0" borderId="0" xfId="103" applyFont="1">
      <alignment/>
      <protection/>
    </xf>
    <xf numFmtId="0" fontId="18" fillId="0" borderId="0" xfId="103" applyFont="1" applyBorder="1" applyAlignment="1">
      <alignment horizontal="center"/>
      <protection/>
    </xf>
    <xf numFmtId="0" fontId="11" fillId="0" borderId="0" xfId="103" applyAlignment="1">
      <alignment wrapText="1"/>
      <protection/>
    </xf>
    <xf numFmtId="0" fontId="11" fillId="0" borderId="0" xfId="103" applyFont="1" applyFill="1">
      <alignment/>
      <protection/>
    </xf>
    <xf numFmtId="0" fontId="0" fillId="0" borderId="0" xfId="0" applyFont="1" applyAlignment="1">
      <alignment wrapText="1"/>
    </xf>
    <xf numFmtId="0" fontId="6" fillId="1" borderId="20" xfId="103" applyFont="1" applyFill="1" applyBorder="1" applyAlignment="1">
      <alignment horizontal="center" vertical="center"/>
      <protection/>
    </xf>
    <xf numFmtId="0" fontId="33" fillId="0" borderId="0" xfId="104" applyFont="1" applyAlignment="1">
      <alignment horizontal="center" vertical="center"/>
      <protection/>
    </xf>
    <xf numFmtId="0" fontId="26" fillId="0" borderId="21" xfId="104" applyFont="1" applyBorder="1" applyAlignment="1">
      <alignment horizontal="left" vertical="center" wrapText="1"/>
      <protection/>
    </xf>
    <xf numFmtId="0" fontId="36" fillId="0" borderId="22" xfId="104" applyFont="1" applyBorder="1" applyAlignment="1">
      <alignment horizontal="center" vertical="center" wrapText="1"/>
      <protection/>
    </xf>
    <xf numFmtId="0" fontId="36" fillId="0" borderId="23" xfId="104" applyFont="1" applyBorder="1" applyAlignment="1">
      <alignment horizontal="center" vertical="center" wrapText="1"/>
      <protection/>
    </xf>
    <xf numFmtId="0" fontId="0" fillId="0" borderId="24" xfId="10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3" applyNumberFormat="1" applyAlignment="1">
      <alignment vertical="center"/>
      <protection/>
    </xf>
    <xf numFmtId="0" fontId="18" fillId="0" borderId="0" xfId="103" applyFont="1" applyBorder="1" applyAlignment="1">
      <alignment horizontal="center" wrapText="1"/>
      <protection/>
    </xf>
    <xf numFmtId="0" fontId="6" fillId="1" borderId="25" xfId="103" applyFont="1" applyFill="1" applyBorder="1" applyAlignment="1">
      <alignment horizontal="center" vertical="center" wrapText="1"/>
      <protection/>
    </xf>
    <xf numFmtId="0" fontId="0" fillId="0" borderId="26" xfId="103" applyFont="1" applyFill="1" applyBorder="1" applyAlignment="1">
      <alignment horizontal="left" vertical="center" wrapText="1"/>
      <protection/>
    </xf>
    <xf numFmtId="0" fontId="6" fillId="0" borderId="25" xfId="103" applyFont="1" applyBorder="1" applyAlignment="1">
      <alignment vertical="center" wrapText="1"/>
      <protection/>
    </xf>
    <xf numFmtId="0" fontId="13" fillId="0" borderId="0" xfId="103" applyFont="1" applyAlignment="1">
      <alignment vertical="center"/>
      <protection/>
    </xf>
    <xf numFmtId="0" fontId="0" fillId="0" borderId="27" xfId="103" applyFont="1" applyBorder="1" applyAlignment="1">
      <alignment horizontal="center" vertical="center"/>
      <protection/>
    </xf>
    <xf numFmtId="0" fontId="2" fillId="0" borderId="28" xfId="103" applyFont="1" applyFill="1" applyBorder="1" applyAlignment="1">
      <alignment vertical="center" wrapText="1"/>
      <protection/>
    </xf>
    <xf numFmtId="0" fontId="0" fillId="0" borderId="29" xfId="103" applyFont="1" applyBorder="1" applyAlignment="1">
      <alignment horizontal="center" vertical="center"/>
      <protection/>
    </xf>
    <xf numFmtId="0" fontId="19" fillId="0" borderId="0" xfId="104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3" applyAlignment="1">
      <alignment horizontal="left" wrapText="1"/>
      <protection/>
    </xf>
    <xf numFmtId="0" fontId="11" fillId="0" borderId="0" xfId="103" applyBorder="1" applyAlignment="1">
      <alignment horizontal="left" wrapText="1"/>
      <protection/>
    </xf>
    <xf numFmtId="0" fontId="0" fillId="0" borderId="28" xfId="103" applyFont="1" applyBorder="1" applyAlignment="1">
      <alignment horizontal="left" vertical="center" wrapText="1"/>
      <protection/>
    </xf>
    <xf numFmtId="0" fontId="15" fillId="0" borderId="0" xfId="103" applyFont="1" applyAlignment="1">
      <alignment wrapText="1"/>
      <protection/>
    </xf>
    <xf numFmtId="0" fontId="15" fillId="0" borderId="21" xfId="103" applyFont="1" applyBorder="1" applyAlignment="1">
      <alignment wrapText="1"/>
      <protection/>
    </xf>
    <xf numFmtId="0" fontId="15" fillId="0" borderId="21" xfId="103" applyFont="1" applyFill="1" applyBorder="1" applyAlignment="1">
      <alignment wrapText="1"/>
      <protection/>
    </xf>
    <xf numFmtId="0" fontId="12" fillId="0" borderId="30" xfId="103" applyFont="1" applyBorder="1" applyAlignment="1">
      <alignment vertical="center" wrapText="1"/>
      <protection/>
    </xf>
    <xf numFmtId="0" fontId="12" fillId="0" borderId="30" xfId="103" applyFont="1" applyBorder="1" applyAlignment="1">
      <alignment wrapText="1"/>
      <protection/>
    </xf>
    <xf numFmtId="3" fontId="41" fillId="0" borderId="31" xfId="103" applyNumberFormat="1" applyFont="1" applyFill="1" applyBorder="1" applyAlignment="1">
      <alignment horizontal="right"/>
      <protection/>
    </xf>
    <xf numFmtId="0" fontId="41" fillId="0" borderId="31" xfId="103" applyFont="1" applyBorder="1" applyAlignment="1">
      <alignment horizontal="right"/>
      <protection/>
    </xf>
    <xf numFmtId="3" fontId="41" fillId="0" borderId="32" xfId="103" applyNumberFormat="1" applyFont="1" applyBorder="1" applyAlignment="1">
      <alignment horizontal="right"/>
      <protection/>
    </xf>
    <xf numFmtId="3" fontId="41" fillId="0" borderId="31" xfId="103" applyNumberFormat="1" applyFont="1" applyBorder="1" applyAlignment="1">
      <alignment horizontal="right"/>
      <protection/>
    </xf>
    <xf numFmtId="3" fontId="18" fillId="0" borderId="22" xfId="68" applyNumberFormat="1" applyFont="1" applyBorder="1" applyAlignment="1">
      <alignment horizontal="right" vertical="center"/>
    </xf>
    <xf numFmtId="3" fontId="18" fillId="0" borderId="22" xfId="103" applyNumberFormat="1" applyFont="1" applyBorder="1" applyAlignment="1">
      <alignment horizontal="right"/>
      <protection/>
    </xf>
    <xf numFmtId="0" fontId="11" fillId="0" borderId="33" xfId="103" applyFont="1" applyBorder="1" applyAlignment="1">
      <alignment horizontal="center" vertical="center"/>
      <protection/>
    </xf>
    <xf numFmtId="0" fontId="11" fillId="0" borderId="21" xfId="103" applyFont="1" applyBorder="1" applyAlignment="1">
      <alignment horizontal="center" vertical="center"/>
      <protection/>
    </xf>
    <xf numFmtId="3" fontId="12" fillId="0" borderId="0" xfId="103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31" xfId="103" applyFont="1" applyFill="1" applyBorder="1" applyAlignment="1">
      <alignment horizontal="left" vertical="center" wrapText="1"/>
      <protection/>
    </xf>
    <xf numFmtId="0" fontId="0" fillId="0" borderId="21" xfId="103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3" applyFont="1" applyBorder="1" applyAlignment="1">
      <alignment horizontal="right" vertical="center"/>
      <protection/>
    </xf>
    <xf numFmtId="0" fontId="22" fillId="0" borderId="0" xfId="103" applyFont="1" applyAlignment="1">
      <alignment horizontal="center" vertical="center"/>
      <protection/>
    </xf>
    <xf numFmtId="3" fontId="15" fillId="0" borderId="31" xfId="103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32" xfId="103" applyNumberFormat="1" applyFont="1" applyFill="1" applyBorder="1" applyAlignment="1">
      <alignment horizontal="right"/>
      <protection/>
    </xf>
    <xf numFmtId="3" fontId="41" fillId="0" borderId="34" xfId="103" applyNumberFormat="1" applyFont="1" applyBorder="1" applyAlignment="1">
      <alignment horizontal="right"/>
      <protection/>
    </xf>
    <xf numFmtId="0" fontId="15" fillId="0" borderId="35" xfId="103" applyFont="1" applyBorder="1" applyAlignment="1">
      <alignment wrapText="1"/>
      <protection/>
    </xf>
    <xf numFmtId="0" fontId="14" fillId="0" borderId="31" xfId="0" applyFont="1" applyFill="1" applyBorder="1" applyAlignment="1">
      <alignment vertical="center" wrapText="1"/>
    </xf>
    <xf numFmtId="0" fontId="32" fillId="0" borderId="31" xfId="0" applyFont="1" applyFill="1" applyBorder="1" applyAlignment="1">
      <alignment vertical="center"/>
    </xf>
    <xf numFmtId="0" fontId="32" fillId="0" borderId="31" xfId="103" applyFont="1" applyFill="1" applyBorder="1" applyAlignment="1">
      <alignment vertical="center"/>
      <protection/>
    </xf>
    <xf numFmtId="0" fontId="32" fillId="0" borderId="36" xfId="103" applyFont="1" applyFill="1" applyBorder="1" applyAlignment="1">
      <alignment vertical="center"/>
      <protection/>
    </xf>
    <xf numFmtId="0" fontId="14" fillId="0" borderId="26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7" fillId="0" borderId="4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1" xfId="0" applyNumberFormat="1" applyFont="1" applyBorder="1" applyAlignment="1">
      <alignment horizontal="left"/>
    </xf>
    <xf numFmtId="49" fontId="7" fillId="0" borderId="42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/>
    </xf>
    <xf numFmtId="3" fontId="3" fillId="0" borderId="25" xfId="0" applyNumberFormat="1" applyFont="1" applyFill="1" applyBorder="1" applyAlignment="1">
      <alignment horizontal="right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1" xfId="0" applyNumberFormat="1" applyFont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44" xfId="104" applyFont="1" applyBorder="1" applyAlignment="1">
      <alignment horizontal="left" vertical="center" wrapText="1"/>
      <protection/>
    </xf>
    <xf numFmtId="0" fontId="26" fillId="0" borderId="45" xfId="0" applyFont="1" applyBorder="1" applyAlignment="1">
      <alignment vertical="center" wrapText="1"/>
    </xf>
    <xf numFmtId="2" fontId="37" fillId="0" borderId="31" xfId="104" applyNumberFormat="1" applyFont="1" applyFill="1" applyBorder="1" applyAlignment="1">
      <alignment horizontal="center" vertical="center" wrapText="1"/>
      <protection/>
    </xf>
    <xf numFmtId="2" fontId="37" fillId="0" borderId="28" xfId="104" applyNumberFormat="1" applyFont="1" applyFill="1" applyBorder="1" applyAlignment="1">
      <alignment horizontal="center" vertical="center" wrapText="1"/>
      <protection/>
    </xf>
    <xf numFmtId="2" fontId="37" fillId="0" borderId="22" xfId="104" applyNumberFormat="1" applyFont="1" applyFill="1" applyBorder="1" applyAlignment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left" vertical="center" wrapText="1"/>
      <protection/>
    </xf>
    <xf numFmtId="167" fontId="30" fillId="0" borderId="0" xfId="0" applyNumberFormat="1" applyFont="1" applyFill="1" applyAlignment="1" applyProtection="1">
      <alignment vertical="center" wrapText="1"/>
      <protection/>
    </xf>
    <xf numFmtId="167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7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3" fillId="0" borderId="48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53" fillId="0" borderId="25" xfId="0" applyFont="1" applyFill="1" applyBorder="1" applyAlignment="1" applyProtection="1">
      <alignment horizontal="left" vertical="center" wrapText="1" indent="1"/>
      <protection/>
    </xf>
    <xf numFmtId="167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31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0" fontId="45" fillId="0" borderId="31" xfId="106" applyFont="1" applyFill="1" applyBorder="1" applyAlignment="1" applyProtection="1">
      <alignment horizontal="left" vertical="center" wrapText="1" indent="1"/>
      <protection/>
    </xf>
    <xf numFmtId="167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9" xfId="0" applyFont="1" applyFill="1" applyBorder="1" applyAlignment="1" applyProtection="1">
      <alignment horizontal="center" vertical="center" wrapText="1"/>
      <protection/>
    </xf>
    <xf numFmtId="0" fontId="45" fillId="0" borderId="28" xfId="106" applyFont="1" applyFill="1" applyBorder="1" applyAlignment="1" applyProtection="1">
      <alignment horizontal="left" vertical="center" wrapText="1" indent="1"/>
      <protection/>
    </xf>
    <xf numFmtId="0" fontId="53" fillId="0" borderId="47" xfId="0" applyFont="1" applyFill="1" applyBorder="1" applyAlignment="1" applyProtection="1">
      <alignment horizontal="center" vertical="center" wrapText="1"/>
      <protection/>
    </xf>
    <xf numFmtId="0" fontId="53" fillId="0" borderId="25" xfId="106" applyFont="1" applyFill="1" applyBorder="1" applyAlignment="1" applyProtection="1">
      <alignment horizontal="left" vertical="center" wrapText="1" indent="1"/>
      <protection/>
    </xf>
    <xf numFmtId="0" fontId="53" fillId="0" borderId="24" xfId="0" applyFont="1" applyFill="1" applyBorder="1" applyAlignment="1" applyProtection="1">
      <alignment horizontal="center" vertical="center" wrapText="1"/>
      <protection/>
    </xf>
    <xf numFmtId="49" fontId="45" fillId="0" borderId="26" xfId="0" applyNumberFormat="1" applyFont="1" applyFill="1" applyBorder="1" applyAlignment="1" applyProtection="1">
      <alignment horizontal="center" vertical="center" wrapText="1"/>
      <protection/>
    </xf>
    <xf numFmtId="0" fontId="45" fillId="0" borderId="26" xfId="106" applyFont="1" applyFill="1" applyBorder="1" applyAlignment="1" applyProtection="1">
      <alignment horizontal="left" vertical="center" wrapText="1" indent="1"/>
      <protection/>
    </xf>
    <xf numFmtId="167" fontId="4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44" xfId="0" applyFont="1" applyFill="1" applyBorder="1" applyAlignment="1" applyProtection="1">
      <alignment horizontal="center" vertical="center" wrapText="1"/>
      <protection/>
    </xf>
    <xf numFmtId="49" fontId="45" fillId="0" borderId="28" xfId="0" applyNumberFormat="1" applyFont="1" applyFill="1" applyBorder="1" applyAlignment="1" applyProtection="1">
      <alignment horizontal="center" vertical="center" wrapText="1"/>
      <protection/>
    </xf>
    <xf numFmtId="0" fontId="45" fillId="0" borderId="51" xfId="106" applyFont="1" applyFill="1" applyBorder="1" applyAlignment="1" applyProtection="1">
      <alignment horizontal="left" vertical="center" wrapText="1" indent="1"/>
      <protection/>
    </xf>
    <xf numFmtId="167" fontId="4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106" applyNumberFormat="1" applyFont="1" applyFill="1" applyBorder="1" applyAlignment="1" applyProtection="1">
      <alignment horizontal="left" vertical="center" wrapText="1" indent="1"/>
      <protection/>
    </xf>
    <xf numFmtId="0" fontId="54" fillId="0" borderId="53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46" xfId="106" applyFont="1" applyFill="1" applyBorder="1" applyAlignment="1" applyProtection="1">
      <alignment horizontal="left" vertical="center" wrapText="1" indent="1"/>
      <protection/>
    </xf>
    <xf numFmtId="49" fontId="45" fillId="0" borderId="26" xfId="106" applyNumberFormat="1" applyFont="1" applyFill="1" applyBorder="1" applyAlignment="1" applyProtection="1">
      <alignment horizontal="left" vertical="center" wrapText="1" indent="1"/>
      <protection/>
    </xf>
    <xf numFmtId="0" fontId="29" fillId="0" borderId="30" xfId="0" applyFont="1" applyFill="1" applyBorder="1" applyAlignment="1" applyProtection="1">
      <alignment vertical="center" wrapText="1"/>
      <protection/>
    </xf>
    <xf numFmtId="49" fontId="45" fillId="0" borderId="22" xfId="106" applyNumberFormat="1" applyFont="1" applyFill="1" applyBorder="1" applyAlignment="1" applyProtection="1">
      <alignment horizontal="left" vertical="center" wrapText="1" indent="1"/>
      <protection/>
    </xf>
    <xf numFmtId="0" fontId="45" fillId="0" borderId="22" xfId="106" applyFont="1" applyFill="1" applyBorder="1" applyAlignment="1" applyProtection="1">
      <alignment horizontal="left" vertical="center" wrapText="1" indent="1"/>
      <protection/>
    </xf>
    <xf numFmtId="167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7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3" fillId="0" borderId="54" xfId="106" applyFont="1" applyFill="1" applyBorder="1" applyAlignment="1" applyProtection="1">
      <alignment horizontal="left" vertical="center" wrapText="1" inden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7" fillId="0" borderId="54" xfId="0" applyFont="1" applyBorder="1" applyAlignment="1" applyProtection="1">
      <alignment horizontal="left" wrapText="1" indent="1"/>
      <protection/>
    </xf>
    <xf numFmtId="167" fontId="53" fillId="0" borderId="55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7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20" xfId="0" applyFont="1" applyFill="1" applyBorder="1" applyAlignment="1" applyProtection="1">
      <alignment horizontal="center" vertical="center" wrapText="1"/>
      <protection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53" fillId="0" borderId="25" xfId="106" applyFont="1" applyFill="1" applyBorder="1" applyAlignment="1" applyProtection="1">
      <alignment horizontal="left" vertical="center" wrapText="1" indent="1"/>
      <protection/>
    </xf>
    <xf numFmtId="0" fontId="53" fillId="0" borderId="33" xfId="0" applyFont="1" applyFill="1" applyBorder="1" applyAlignment="1" applyProtection="1">
      <alignment horizontal="center" vertical="center" wrapText="1"/>
      <protection/>
    </xf>
    <xf numFmtId="49" fontId="45" fillId="0" borderId="28" xfId="106" applyNumberFormat="1" applyFont="1" applyFill="1" applyBorder="1" applyAlignment="1" applyProtection="1">
      <alignment horizontal="left" vertical="center" wrapText="1" indent="1"/>
      <protection/>
    </xf>
    <xf numFmtId="0" fontId="53" fillId="0" borderId="21" xfId="0" applyFont="1" applyFill="1" applyBorder="1" applyAlignment="1" applyProtection="1">
      <alignment horizontal="center" vertical="center" wrapText="1"/>
      <protection/>
    </xf>
    <xf numFmtId="49" fontId="45" fillId="0" borderId="31" xfId="106" applyNumberFormat="1" applyFont="1" applyFill="1" applyBorder="1" applyAlignment="1" applyProtection="1">
      <alignment horizontal="left" vertical="center" wrapText="1" indent="1"/>
      <protection/>
    </xf>
    <xf numFmtId="167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167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7" xfId="0" applyFont="1" applyFill="1" applyBorder="1" applyAlignment="1" applyProtection="1">
      <alignment horizontal="left" vertical="center"/>
      <protection/>
    </xf>
    <xf numFmtId="0" fontId="59" fillId="0" borderId="43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4" xfId="0" applyNumberFormat="1" applyFont="1" applyFill="1" applyBorder="1" applyAlignment="1" applyProtection="1">
      <alignment horizontal="center" vertical="center" wrapText="1"/>
      <protection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0" fillId="0" borderId="0" xfId="106" applyFill="1">
      <alignment/>
      <protection/>
    </xf>
    <xf numFmtId="3" fontId="45" fillId="0" borderId="0" xfId="106" applyNumberFormat="1" applyFont="1" applyFill="1" applyBorder="1">
      <alignment/>
      <protection/>
    </xf>
    <xf numFmtId="167" fontId="45" fillId="0" borderId="0" xfId="106" applyNumberFormat="1" applyFont="1" applyFill="1" applyBorder="1">
      <alignment/>
      <protection/>
    </xf>
    <xf numFmtId="0" fontId="53" fillId="0" borderId="47" xfId="106" applyFont="1" applyFill="1" applyBorder="1" applyAlignment="1" applyProtection="1">
      <alignment horizontal="left" vertical="center" wrapText="1" indent="1"/>
      <protection/>
    </xf>
    <xf numFmtId="0" fontId="61" fillId="0" borderId="0" xfId="106" applyFont="1" applyFill="1">
      <alignment/>
      <protection/>
    </xf>
    <xf numFmtId="49" fontId="45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6" applyFont="1" applyFill="1" applyBorder="1" applyAlignment="1" applyProtection="1">
      <alignment horizontal="left" indent="5"/>
      <protection/>
    </xf>
    <xf numFmtId="3" fontId="45" fillId="0" borderId="0" xfId="106" applyNumberFormat="1" applyFont="1" applyFill="1" applyBorder="1" applyAlignment="1" applyProtection="1">
      <alignment horizontal="right" vertical="center" wrapText="1"/>
      <protection/>
    </xf>
    <xf numFmtId="0" fontId="46" fillId="0" borderId="0" xfId="106" applyFont="1" applyFill="1" applyAlignment="1">
      <alignment horizontal="center" wrapText="1"/>
      <protection/>
    </xf>
    <xf numFmtId="3" fontId="45" fillId="0" borderId="0" xfId="106" applyNumberFormat="1" applyFont="1" applyFill="1">
      <alignment/>
      <protection/>
    </xf>
    <xf numFmtId="0" fontId="45" fillId="0" borderId="0" xfId="106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6" xfId="0" applyNumberFormat="1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5" fillId="0" borderId="35" xfId="103" applyFont="1" applyFill="1" applyBorder="1" applyAlignment="1">
      <alignment wrapText="1"/>
      <protection/>
    </xf>
    <xf numFmtId="0" fontId="53" fillId="0" borderId="24" xfId="106" applyFont="1" applyFill="1" applyBorder="1" applyAlignment="1" applyProtection="1">
      <alignment horizontal="left" vertical="center" wrapText="1" indent="1"/>
      <protection/>
    </xf>
    <xf numFmtId="49" fontId="53" fillId="0" borderId="21" xfId="106" applyNumberFormat="1" applyFont="1" applyFill="1" applyBorder="1" applyAlignment="1" applyProtection="1">
      <alignment horizontal="left" vertical="center" wrapText="1" indent="1"/>
      <protection/>
    </xf>
    <xf numFmtId="49" fontId="53" fillId="0" borderId="30" xfId="106" applyNumberFormat="1" applyFont="1" applyFill="1" applyBorder="1" applyAlignment="1" applyProtection="1">
      <alignment horizontal="left" vertical="center" wrapText="1" indent="1"/>
      <protection/>
    </xf>
    <xf numFmtId="167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51" xfId="104" applyNumberFormat="1" applyFont="1" applyBorder="1" applyAlignment="1">
      <alignment horizontal="center" vertical="center"/>
      <protection/>
    </xf>
    <xf numFmtId="167" fontId="27" fillId="0" borderId="25" xfId="106" applyNumberFormat="1" applyFont="1" applyFill="1" applyBorder="1" applyAlignment="1" applyProtection="1">
      <alignment horizontal="right" vertical="center" wrapText="1"/>
      <protection/>
    </xf>
    <xf numFmtId="167" fontId="42" fillId="0" borderId="19" xfId="106" applyNumberFormat="1" applyFont="1" applyFill="1" applyBorder="1" applyAlignment="1" applyProtection="1">
      <alignment horizontal="left" vertical="center"/>
      <protection/>
    </xf>
    <xf numFmtId="3" fontId="27" fillId="0" borderId="26" xfId="106" applyNumberFormat="1" applyFont="1" applyFill="1" applyBorder="1" applyAlignment="1" applyProtection="1">
      <alignment horizontal="right" vertical="center" wrapText="1"/>
      <protection/>
    </xf>
    <xf numFmtId="3" fontId="27" fillId="0" borderId="31" xfId="106" applyNumberFormat="1" applyFont="1" applyFill="1" applyBorder="1" applyAlignment="1" applyProtection="1">
      <alignment horizontal="right" vertical="center" wrapText="1"/>
      <protection/>
    </xf>
    <xf numFmtId="3" fontId="27" fillId="0" borderId="22" xfId="106" applyNumberFormat="1" applyFont="1" applyFill="1" applyBorder="1" applyAlignment="1" applyProtection="1">
      <alignment horizontal="right" vertical="center" wrapText="1"/>
      <protection/>
    </xf>
    <xf numFmtId="49" fontId="43" fillId="0" borderId="21" xfId="106" applyNumberFormat="1" applyFont="1" applyFill="1" applyBorder="1" applyAlignment="1" applyProtection="1">
      <alignment horizontal="left" vertical="center" wrapText="1"/>
      <protection/>
    </xf>
    <xf numFmtId="49" fontId="29" fillId="0" borderId="21" xfId="106" applyNumberFormat="1" applyFont="1" applyFill="1" applyBorder="1" applyAlignment="1">
      <alignment horizontal="left"/>
      <protection/>
    </xf>
    <xf numFmtId="49" fontId="29" fillId="0" borderId="21" xfId="106" applyNumberFormat="1" applyFont="1" applyFill="1" applyBorder="1" applyAlignment="1" applyProtection="1">
      <alignment horizontal="left" vertical="center" wrapText="1"/>
      <protection/>
    </xf>
    <xf numFmtId="0" fontId="27" fillId="0" borderId="24" xfId="106" applyFont="1" applyFill="1" applyBorder="1" applyAlignment="1">
      <alignment horizontal="center"/>
      <protection/>
    </xf>
    <xf numFmtId="3" fontId="27" fillId="0" borderId="26" xfId="106" applyNumberFormat="1" applyFont="1" applyFill="1" applyBorder="1">
      <alignment/>
      <protection/>
    </xf>
    <xf numFmtId="3" fontId="29" fillId="0" borderId="31" xfId="106" applyNumberFormat="1" applyFont="1" applyFill="1" applyBorder="1">
      <alignment/>
      <protection/>
    </xf>
    <xf numFmtId="167" fontId="29" fillId="0" borderId="31" xfId="106" applyNumberFormat="1" applyFont="1" applyFill="1" applyBorder="1">
      <alignment/>
      <protection/>
    </xf>
    <xf numFmtId="49" fontId="43" fillId="0" borderId="30" xfId="106" applyNumberFormat="1" applyFont="1" applyFill="1" applyBorder="1" applyAlignment="1">
      <alignment horizontal="left"/>
      <protection/>
    </xf>
    <xf numFmtId="3" fontId="29" fillId="0" borderId="22" xfId="106" applyNumberFormat="1" applyFont="1" applyFill="1" applyBorder="1">
      <alignment/>
      <protection/>
    </xf>
    <xf numFmtId="167" fontId="27" fillId="0" borderId="51" xfId="106" applyNumberFormat="1" applyFont="1" applyFill="1" applyBorder="1" applyAlignment="1" applyProtection="1">
      <alignment horizontal="right" vertical="center" wrapText="1"/>
      <protection/>
    </xf>
    <xf numFmtId="167" fontId="27" fillId="0" borderId="26" xfId="106" applyNumberFormat="1" applyFont="1" applyFill="1" applyBorder="1" applyAlignment="1" applyProtection="1">
      <alignment horizontal="right" vertical="center" wrapText="1"/>
      <protection/>
    </xf>
    <xf numFmtId="167" fontId="27" fillId="0" borderId="31" xfId="106" applyNumberFormat="1" applyFont="1" applyFill="1" applyBorder="1" applyAlignment="1" applyProtection="1">
      <alignment horizontal="right" vertical="center" wrapText="1"/>
      <protection/>
    </xf>
    <xf numFmtId="3" fontId="18" fillId="0" borderId="23" xfId="103" applyNumberFormat="1" applyFont="1" applyBorder="1" applyAlignment="1">
      <alignment horizontal="right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46" xfId="0" applyNumberFormat="1" applyFont="1" applyFill="1" applyBorder="1" applyAlignment="1" applyProtection="1">
      <alignment horizontal="center" vertical="center" wrapText="1"/>
      <protection/>
    </xf>
    <xf numFmtId="167" fontId="49" fillId="0" borderId="58" xfId="0" applyNumberFormat="1" applyFont="1" applyFill="1" applyBorder="1" applyAlignment="1" applyProtection="1">
      <alignment horizontal="center" vertical="center" wrapText="1"/>
      <protection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8" xfId="0" applyNumberFormat="1" applyFont="1" applyFill="1" applyBorder="1" applyAlignment="1" applyProtection="1">
      <alignment horizontal="center" vertical="center" wrapText="1"/>
      <protection/>
    </xf>
    <xf numFmtId="167" fontId="49" fillId="0" borderId="61" xfId="0" applyNumberFormat="1" applyFont="1" applyFill="1" applyBorder="1" applyAlignment="1" applyProtection="1">
      <alignment horizontal="center" vertical="center" wrapText="1"/>
      <protection/>
    </xf>
    <xf numFmtId="167" fontId="5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5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1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15" fillId="0" borderId="0" xfId="103" applyNumberFormat="1" applyFont="1">
      <alignment/>
      <protection/>
    </xf>
    <xf numFmtId="2" fontId="33" fillId="0" borderId="0" xfId="104" applyNumberFormat="1" applyFont="1" applyAlignment="1">
      <alignment horizontal="center" vertical="center"/>
      <protection/>
    </xf>
    <xf numFmtId="1" fontId="37" fillId="0" borderId="32" xfId="104" applyNumberFormat="1" applyFont="1" applyFill="1" applyBorder="1" applyAlignment="1">
      <alignment horizontal="center" vertical="center" wrapText="1"/>
      <protection/>
    </xf>
    <xf numFmtId="1" fontId="35" fillId="0" borderId="52" xfId="104" applyNumberFormat="1" applyFont="1" applyBorder="1" applyAlignment="1">
      <alignment horizontal="center" vertical="center"/>
      <protection/>
    </xf>
    <xf numFmtId="1" fontId="35" fillId="0" borderId="48" xfId="104" applyNumberFormat="1" applyFont="1" applyBorder="1" applyAlignment="1">
      <alignment horizontal="center" vertical="center" wrapText="1"/>
      <protection/>
    </xf>
    <xf numFmtId="0" fontId="46" fillId="0" borderId="0" xfId="106" applyFont="1" applyFill="1" applyBorder="1" applyAlignment="1">
      <alignment horizont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46" fillId="0" borderId="0" xfId="106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3" xfId="0" applyFont="1" applyFill="1" applyBorder="1" applyAlignment="1" applyProtection="1">
      <alignment horizontal="center" vertical="center" wrapText="1"/>
      <protection/>
    </xf>
    <xf numFmtId="167" fontId="49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3" xfId="103" applyFont="1" applyFill="1" applyBorder="1" applyAlignment="1">
      <alignment horizontal="center" vertical="center" wrapText="1"/>
      <protection/>
    </xf>
    <xf numFmtId="0" fontId="12" fillId="1" borderId="28" xfId="103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4" xfId="0" applyFont="1" applyFill="1" applyBorder="1" applyAlignment="1" applyProtection="1">
      <alignment horizontal="center" vertical="center" wrapText="1"/>
      <protection/>
    </xf>
    <xf numFmtId="0" fontId="11" fillId="0" borderId="0" xfId="103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4" xfId="0" applyFont="1" applyBorder="1" applyAlignment="1" applyProtection="1">
      <alignment horizontal="center" wrapText="1"/>
      <protection/>
    </xf>
    <xf numFmtId="0" fontId="51" fillId="0" borderId="54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13" fillId="0" borderId="20" xfId="103" applyFont="1" applyBorder="1" applyAlignment="1">
      <alignment horizontal="center" vertical="center"/>
      <protection/>
    </xf>
    <xf numFmtId="3" fontId="13" fillId="0" borderId="33" xfId="103" applyNumberFormat="1" applyFont="1" applyFill="1" applyBorder="1" applyAlignment="1">
      <alignment vertical="center"/>
      <protection/>
    </xf>
    <xf numFmtId="0" fontId="11" fillId="0" borderId="27" xfId="103" applyFont="1" applyBorder="1" applyAlignment="1">
      <alignment vertical="center" wrapText="1"/>
      <protection/>
    </xf>
    <xf numFmtId="0" fontId="11" fillId="0" borderId="29" xfId="103" applyFont="1" applyBorder="1" applyAlignment="1">
      <alignment vertical="center" wrapText="1"/>
      <protection/>
    </xf>
    <xf numFmtId="0" fontId="11" fillId="0" borderId="41" xfId="103" applyFont="1" applyBorder="1" applyAlignment="1">
      <alignment vertical="center" wrapText="1"/>
      <protection/>
    </xf>
    <xf numFmtId="0" fontId="11" fillId="0" borderId="45" xfId="103" applyFont="1" applyBorder="1" applyAlignment="1">
      <alignment vertical="center" wrapText="1"/>
      <protection/>
    </xf>
    <xf numFmtId="0" fontId="13" fillId="0" borderId="65" xfId="103" applyFont="1" applyBorder="1" applyAlignment="1">
      <alignment vertical="center" wrapText="1"/>
      <protection/>
    </xf>
    <xf numFmtId="0" fontId="11" fillId="0" borderId="27" xfId="103" applyFont="1" applyBorder="1" applyAlignment="1">
      <alignment vertical="center"/>
      <protection/>
    </xf>
    <xf numFmtId="0" fontId="11" fillId="0" borderId="41" xfId="103" applyFont="1" applyBorder="1" applyAlignment="1">
      <alignment vertical="center"/>
      <protection/>
    </xf>
    <xf numFmtId="0" fontId="13" fillId="0" borderId="20" xfId="103" applyFont="1" applyBorder="1" applyAlignment="1">
      <alignment vertical="center"/>
      <protection/>
    </xf>
    <xf numFmtId="0" fontId="17" fillId="0" borderId="20" xfId="103" applyFont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 wrapText="1"/>
    </xf>
    <xf numFmtId="0" fontId="19" fillId="0" borderId="41" xfId="103" applyFont="1" applyFill="1" applyBorder="1" applyAlignment="1">
      <alignment vertical="center" wrapText="1"/>
      <protection/>
    </xf>
    <xf numFmtId="0" fontId="13" fillId="0" borderId="20" xfId="103" applyFont="1" applyBorder="1" applyAlignment="1">
      <alignment vertical="center" wrapText="1"/>
      <protection/>
    </xf>
    <xf numFmtId="0" fontId="13" fillId="0" borderId="20" xfId="103" applyFont="1" applyFill="1" applyBorder="1" applyAlignment="1">
      <alignment vertical="center"/>
      <protection/>
    </xf>
    <xf numFmtId="0" fontId="38" fillId="0" borderId="65" xfId="103" applyFont="1" applyBorder="1" applyAlignment="1">
      <alignment horizontal="center" vertical="center"/>
      <protection/>
    </xf>
    <xf numFmtId="0" fontId="7" fillId="0" borderId="40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39" xfId="78" applyFont="1" applyBorder="1" applyAlignment="1" applyProtection="1">
      <alignment vertical="center" wrapText="1"/>
      <protection/>
    </xf>
    <xf numFmtId="0" fontId="7" fillId="0" borderId="39" xfId="0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9" fillId="0" borderId="47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3" fillId="49" borderId="47" xfId="0" applyNumberFormat="1" applyFont="1" applyFill="1" applyBorder="1" applyAlignment="1">
      <alignment horizontal="right" vertical="center" wrapText="1"/>
    </xf>
    <xf numFmtId="3" fontId="7" fillId="49" borderId="33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4" fillId="0" borderId="0" xfId="104" applyFont="1" applyAlignment="1">
      <alignment horizontal="center" vertical="center"/>
      <protection/>
    </xf>
    <xf numFmtId="49" fontId="0" fillId="0" borderId="57" xfId="0" applyNumberFormat="1" applyFont="1" applyBorder="1" applyAlignment="1">
      <alignment horizontal="left"/>
    </xf>
    <xf numFmtId="0" fontId="13" fillId="0" borderId="43" xfId="103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53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11" fillId="0" borderId="0" xfId="103" applyNumberFormat="1" applyFont="1">
      <alignment/>
      <protection/>
    </xf>
    <xf numFmtId="10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7" xfId="103" applyNumberFormat="1" applyFont="1" applyFill="1" applyBorder="1" applyAlignment="1">
      <alignment horizontal="right"/>
      <protection/>
    </xf>
    <xf numFmtId="3" fontId="41" fillId="0" borderId="67" xfId="103" applyNumberFormat="1" applyFont="1" applyBorder="1" applyAlignment="1">
      <alignment horizontal="right"/>
      <protection/>
    </xf>
    <xf numFmtId="0" fontId="41" fillId="0" borderId="21" xfId="103" applyFont="1" applyBorder="1" applyAlignment="1">
      <alignment horizontal="right"/>
      <protection/>
    </xf>
    <xf numFmtId="3" fontId="41" fillId="0" borderId="21" xfId="103" applyNumberFormat="1" applyFont="1" applyBorder="1" applyAlignment="1">
      <alignment horizontal="right"/>
      <protection/>
    </xf>
    <xf numFmtId="3" fontId="41" fillId="0" borderId="21" xfId="103" applyNumberFormat="1" applyFont="1" applyFill="1" applyBorder="1" applyAlignment="1">
      <alignment horizontal="right"/>
      <protection/>
    </xf>
    <xf numFmtId="3" fontId="41" fillId="0" borderId="64" xfId="103" applyNumberFormat="1" applyFont="1" applyBorder="1" applyAlignment="1">
      <alignment horizontal="right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Continuous" vertical="center" wrapText="1"/>
    </xf>
    <xf numFmtId="0" fontId="3" fillId="0" borderId="48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11" fillId="0" borderId="40" xfId="103" applyFont="1" applyBorder="1" applyAlignment="1">
      <alignment vertical="center" wrapText="1"/>
      <protection/>
    </xf>
    <xf numFmtId="0" fontId="11" fillId="0" borderId="39" xfId="103" applyFont="1" applyBorder="1" applyAlignment="1">
      <alignment vertical="center" wrapText="1"/>
      <protection/>
    </xf>
    <xf numFmtId="0" fontId="11" fillId="0" borderId="39" xfId="103" applyFont="1" applyFill="1" applyBorder="1" applyAlignment="1">
      <alignment vertical="center" wrapText="1"/>
      <protection/>
    </xf>
    <xf numFmtId="0" fontId="11" fillId="0" borderId="42" xfId="103" applyFont="1" applyBorder="1" applyAlignment="1">
      <alignment vertical="center" wrapText="1"/>
      <protection/>
    </xf>
    <xf numFmtId="0" fontId="11" fillId="0" borderId="68" xfId="103" applyFont="1" applyBorder="1" applyAlignment="1">
      <alignment vertical="center" wrapText="1"/>
      <protection/>
    </xf>
    <xf numFmtId="0" fontId="13" fillId="0" borderId="43" xfId="103" applyFont="1" applyBorder="1" applyAlignment="1">
      <alignment vertical="center" wrapText="1"/>
      <protection/>
    </xf>
    <xf numFmtId="0" fontId="17" fillId="0" borderId="43" xfId="103" applyFont="1" applyBorder="1" applyAlignment="1">
      <alignment horizontal="center" vertical="center" wrapText="1"/>
      <protection/>
    </xf>
    <xf numFmtId="0" fontId="11" fillId="0" borderId="56" xfId="103" applyFont="1" applyBorder="1" applyAlignment="1">
      <alignment vertical="center" wrapText="1"/>
      <protection/>
    </xf>
    <xf numFmtId="0" fontId="13" fillId="0" borderId="43" xfId="103" applyFont="1" applyBorder="1" applyAlignment="1">
      <alignment vertical="center"/>
      <protection/>
    </xf>
    <xf numFmtId="0" fontId="11" fillId="0" borderId="40" xfId="103" applyFont="1" applyFill="1" applyBorder="1" applyAlignment="1">
      <alignment vertical="center" wrapText="1"/>
      <protection/>
    </xf>
    <xf numFmtId="0" fontId="11" fillId="0" borderId="42" xfId="103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38" fillId="0" borderId="43" xfId="103" applyFont="1" applyBorder="1" applyAlignment="1">
      <alignment horizontal="center" vertical="center"/>
      <protection/>
    </xf>
    <xf numFmtId="0" fontId="13" fillId="0" borderId="47" xfId="103" applyFont="1" applyBorder="1" applyAlignment="1">
      <alignment horizontal="center" vertical="center"/>
      <protection/>
    </xf>
    <xf numFmtId="0" fontId="13" fillId="0" borderId="25" xfId="103" applyFont="1" applyBorder="1" applyAlignment="1">
      <alignment horizontal="center" vertical="center"/>
      <protection/>
    </xf>
    <xf numFmtId="0" fontId="13" fillId="0" borderId="48" xfId="103" applyFont="1" applyBorder="1" applyAlignment="1">
      <alignment horizontal="center" vertical="center"/>
      <protection/>
    </xf>
    <xf numFmtId="3" fontId="11" fillId="0" borderId="33" xfId="103" applyNumberFormat="1" applyBorder="1" applyAlignment="1">
      <alignment vertical="center"/>
      <protection/>
    </xf>
    <xf numFmtId="3" fontId="11" fillId="0" borderId="21" xfId="103" applyNumberFormat="1" applyBorder="1" applyAlignment="1">
      <alignment vertical="center"/>
      <protection/>
    </xf>
    <xf numFmtId="3" fontId="11" fillId="0" borderId="35" xfId="103" applyNumberFormat="1" applyBorder="1" applyAlignment="1">
      <alignment vertical="center"/>
      <protection/>
    </xf>
    <xf numFmtId="3" fontId="11" fillId="0" borderId="30" xfId="103" applyNumberFormat="1" applyBorder="1" applyAlignment="1">
      <alignment vertical="center"/>
      <protection/>
    </xf>
    <xf numFmtId="3" fontId="11" fillId="0" borderId="44" xfId="103" applyNumberFormat="1" applyBorder="1" applyAlignment="1">
      <alignment vertical="center"/>
      <protection/>
    </xf>
    <xf numFmtId="3" fontId="13" fillId="0" borderId="35" xfId="103" applyNumberFormat="1" applyFont="1" applyBorder="1" applyAlignment="1">
      <alignment vertical="center"/>
      <protection/>
    </xf>
    <xf numFmtId="3" fontId="13" fillId="0" borderId="47" xfId="103" applyNumberFormat="1" applyFont="1" applyBorder="1" applyAlignment="1">
      <alignment vertical="center"/>
      <protection/>
    </xf>
    <xf numFmtId="3" fontId="17" fillId="0" borderId="47" xfId="103" applyNumberFormat="1" applyFont="1" applyBorder="1" applyAlignment="1">
      <alignment vertical="center"/>
      <protection/>
    </xf>
    <xf numFmtId="3" fontId="11" fillId="0" borderId="24" xfId="103" applyNumberFormat="1" applyFill="1" applyBorder="1" applyAlignment="1">
      <alignment vertical="center"/>
      <protection/>
    </xf>
    <xf numFmtId="3" fontId="11" fillId="0" borderId="33" xfId="103" applyNumberFormat="1" applyFont="1" applyBorder="1" applyAlignment="1">
      <alignment vertical="center"/>
      <protection/>
    </xf>
    <xf numFmtId="3" fontId="17" fillId="0" borderId="35" xfId="103" applyNumberFormat="1" applyFont="1" applyBorder="1" applyAlignment="1">
      <alignment vertical="center"/>
      <protection/>
    </xf>
    <xf numFmtId="3" fontId="17" fillId="0" borderId="44" xfId="103" applyNumberFormat="1" applyFont="1" applyBorder="1" applyAlignment="1">
      <alignment vertical="center"/>
      <protection/>
    </xf>
    <xf numFmtId="3" fontId="38" fillId="0" borderId="44" xfId="103" applyNumberFormat="1" applyFont="1" applyBorder="1" applyAlignment="1">
      <alignment vertical="center"/>
      <protection/>
    </xf>
    <xf numFmtId="3" fontId="11" fillId="0" borderId="24" xfId="103" applyNumberFormat="1" applyBorder="1" applyAlignment="1">
      <alignment vertical="center"/>
      <protection/>
    </xf>
    <xf numFmtId="3" fontId="11" fillId="0" borderId="21" xfId="103" applyNumberFormat="1" applyFill="1" applyBorder="1" applyAlignment="1">
      <alignment vertical="center"/>
      <protection/>
    </xf>
    <xf numFmtId="3" fontId="11" fillId="0" borderId="47" xfId="103" applyNumberFormat="1" applyBorder="1" applyAlignment="1">
      <alignment vertical="center"/>
      <protection/>
    </xf>
    <xf numFmtId="3" fontId="38" fillId="0" borderId="47" xfId="103" applyNumberFormat="1" applyFont="1" applyBorder="1" applyAlignment="1">
      <alignment vertical="center"/>
      <protection/>
    </xf>
    <xf numFmtId="0" fontId="3" fillId="0" borderId="47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49" fontId="0" fillId="0" borderId="45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 horizontal="left" vertical="center"/>
    </xf>
    <xf numFmtId="0" fontId="49" fillId="0" borderId="59" xfId="0" applyFont="1" applyFill="1" applyBorder="1" applyAlignment="1" applyProtection="1">
      <alignment horizontal="center" vertical="center" wrapText="1"/>
      <protection/>
    </xf>
    <xf numFmtId="0" fontId="49" fillId="0" borderId="58" xfId="0" applyFont="1" applyFill="1" applyBorder="1" applyAlignment="1" applyProtection="1">
      <alignment horizontal="center" vertical="center" wrapText="1"/>
      <protection/>
    </xf>
    <xf numFmtId="167" fontId="53" fillId="0" borderId="55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35" xfId="0" applyNumberFormat="1" applyFont="1" applyFill="1" applyBorder="1" applyAlignment="1" applyProtection="1">
      <alignment horizontal="center" vertical="center" wrapText="1"/>
      <protection/>
    </xf>
    <xf numFmtId="167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3" xfId="106" applyFont="1" applyFill="1" applyBorder="1" applyAlignment="1" applyProtection="1">
      <alignment horizontal="left" vertical="center" wrapText="1" indent="1"/>
      <protection/>
    </xf>
    <xf numFmtId="0" fontId="45" fillId="0" borderId="70" xfId="106" applyFont="1" applyFill="1" applyBorder="1" applyAlignment="1" applyProtection="1">
      <alignment horizontal="left" vertical="center" wrapText="1" indent="1"/>
      <protection/>
    </xf>
    <xf numFmtId="0" fontId="45" fillId="0" borderId="67" xfId="106" applyFont="1" applyFill="1" applyBorder="1" applyAlignment="1" applyProtection="1">
      <alignment horizontal="left" vertical="center" wrapText="1" indent="1"/>
      <protection/>
    </xf>
    <xf numFmtId="0" fontId="53" fillId="0" borderId="63" xfId="106" applyFont="1" applyFill="1" applyBorder="1" applyAlignment="1" applyProtection="1">
      <alignment horizontal="left" vertical="center" wrapText="1" indent="1"/>
      <protection/>
    </xf>
    <xf numFmtId="0" fontId="53" fillId="0" borderId="43" xfId="106" applyFont="1" applyFill="1" applyBorder="1" applyAlignment="1" applyProtection="1">
      <alignment horizontal="left" vertical="center" wrapText="1" indent="1"/>
      <protection/>
    </xf>
    <xf numFmtId="0" fontId="49" fillId="0" borderId="63" xfId="0" applyFont="1" applyFill="1" applyBorder="1" applyAlignment="1" applyProtection="1">
      <alignment horizontal="left" vertical="center" wrapText="1" indent="1"/>
      <protection/>
    </xf>
    <xf numFmtId="0" fontId="28" fillId="0" borderId="43" xfId="0" applyFont="1" applyFill="1" applyBorder="1" applyAlignment="1" applyProtection="1">
      <alignment vertical="center" wrapText="1"/>
      <protection/>
    </xf>
    <xf numFmtId="167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53" xfId="0" applyFont="1" applyFill="1" applyBorder="1" applyAlignment="1" applyProtection="1">
      <alignment horizontal="center" vertical="center" wrapText="1"/>
      <protection/>
    </xf>
    <xf numFmtId="167" fontId="45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9" xfId="0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>
      <alignment vertical="center" wrapText="1"/>
    </xf>
    <xf numFmtId="3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2" xfId="0" applyFont="1" applyFill="1" applyBorder="1" applyAlignment="1" applyProtection="1">
      <alignment horizontal="center" vertical="center" wrapText="1"/>
      <protection/>
    </xf>
    <xf numFmtId="0" fontId="53" fillId="0" borderId="63" xfId="0" applyFont="1" applyFill="1" applyBorder="1" applyAlignment="1" applyProtection="1">
      <alignment horizontal="left" vertical="center" wrapText="1" indent="1"/>
      <protection/>
    </xf>
    <xf numFmtId="0" fontId="45" fillId="0" borderId="73" xfId="106" applyFont="1" applyFill="1" applyBorder="1" applyAlignment="1" applyProtection="1">
      <alignment horizontal="left" vertical="center" wrapText="1" indent="1"/>
      <protection/>
    </xf>
    <xf numFmtId="0" fontId="45" fillId="0" borderId="74" xfId="106" applyFont="1" applyFill="1" applyBorder="1" applyAlignment="1" applyProtection="1">
      <alignment horizontal="left" vertical="center" wrapText="1" indent="1"/>
      <protection/>
    </xf>
    <xf numFmtId="0" fontId="53" fillId="0" borderId="72" xfId="106" applyFont="1" applyFill="1" applyBorder="1" applyAlignment="1" applyProtection="1">
      <alignment horizontal="left" vertical="center" wrapText="1" indent="1"/>
      <protection/>
    </xf>
    <xf numFmtId="0" fontId="45" fillId="0" borderId="75" xfId="106" applyFont="1" applyFill="1" applyBorder="1" applyAlignment="1" applyProtection="1">
      <alignment horizontal="left" vertical="center" wrapText="1" indent="1"/>
      <protection/>
    </xf>
    <xf numFmtId="0" fontId="50" fillId="0" borderId="43" xfId="0" applyFont="1" applyBorder="1" applyAlignment="1" applyProtection="1">
      <alignment horizontal="left" wrapText="1" indent="1"/>
      <protection/>
    </xf>
    <xf numFmtId="0" fontId="53" fillId="0" borderId="55" xfId="0" applyFont="1" applyFill="1" applyBorder="1" applyAlignment="1" applyProtection="1">
      <alignment horizontal="center" vertical="center" wrapText="1"/>
      <protection/>
    </xf>
    <xf numFmtId="167" fontId="49" fillId="0" borderId="76" xfId="0" applyNumberFormat="1" applyFont="1" applyFill="1" applyBorder="1" applyAlignment="1" applyProtection="1">
      <alignment horizontal="center" vertical="center" wrapText="1"/>
      <protection/>
    </xf>
    <xf numFmtId="10" fontId="45" fillId="0" borderId="39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36" xfId="0" applyNumberFormat="1" applyFont="1" applyFill="1" applyBorder="1" applyAlignment="1" applyProtection="1">
      <alignment horizontal="center" vertical="center" wrapText="1"/>
      <protection/>
    </xf>
    <xf numFmtId="10" fontId="45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49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62" xfId="0" applyFont="1" applyFill="1" applyBorder="1" applyAlignment="1" applyProtection="1">
      <alignment horizontal="right" vertical="center" wrapText="1" indent="1"/>
      <protection/>
    </xf>
    <xf numFmtId="0" fontId="28" fillId="0" borderId="55" xfId="0" applyFont="1" applyFill="1" applyBorder="1" applyAlignment="1">
      <alignment vertical="center"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77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9" xfId="0" applyFont="1" applyFill="1" applyBorder="1" applyAlignment="1" applyProtection="1">
      <alignment horizontal="right" vertical="center" wrapText="1" indent="1"/>
      <protection/>
    </xf>
    <xf numFmtId="3" fontId="28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2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30" xfId="104" applyFont="1" applyBorder="1" applyAlignment="1">
      <alignment horizontal="center" vertical="center" wrapText="1"/>
      <protection/>
    </xf>
    <xf numFmtId="0" fontId="14" fillId="0" borderId="67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3" fontId="15" fillId="0" borderId="21" xfId="103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3" applyNumberFormat="1" applyFont="1" applyFill="1" applyBorder="1" applyAlignment="1">
      <alignment horizontal="right" vertical="center"/>
      <protection/>
    </xf>
    <xf numFmtId="3" fontId="15" fillId="0" borderId="21" xfId="103" applyNumberFormat="1" applyFont="1" applyFill="1" applyBorder="1" applyAlignment="1">
      <alignment horizontal="right" vertical="center"/>
      <protection/>
    </xf>
    <xf numFmtId="3" fontId="12" fillId="0" borderId="47" xfId="103" applyNumberFormat="1" applyFont="1" applyFill="1" applyBorder="1" applyAlignment="1">
      <alignment horizontal="right" vertical="center"/>
      <protection/>
    </xf>
    <xf numFmtId="10" fontId="15" fillId="0" borderId="32" xfId="103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3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33" xfId="0" applyNumberFormat="1" applyFont="1" applyFill="1" applyBorder="1" applyAlignment="1">
      <alignment horizontal="right" vertical="center"/>
    </xf>
    <xf numFmtId="0" fontId="11" fillId="0" borderId="57" xfId="103" applyFont="1" applyBorder="1">
      <alignment/>
      <protection/>
    </xf>
    <xf numFmtId="0" fontId="11" fillId="0" borderId="57" xfId="103" applyFont="1" applyFill="1" applyBorder="1">
      <alignment/>
      <protection/>
    </xf>
    <xf numFmtId="0" fontId="12" fillId="1" borderId="28" xfId="103" applyFont="1" applyFill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left" wrapText="1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2" fillId="0" borderId="47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49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20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21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21" xfId="101" applyBorder="1">
      <alignment/>
      <protection/>
    </xf>
    <xf numFmtId="0" fontId="1" fillId="0" borderId="21" xfId="101" applyFont="1" applyBorder="1">
      <alignment/>
      <protection/>
    </xf>
    <xf numFmtId="0" fontId="66" fillId="0" borderId="29" xfId="101" applyFont="1" applyBorder="1">
      <alignment/>
      <protection/>
    </xf>
    <xf numFmtId="0" fontId="66" fillId="0" borderId="41" xfId="101" applyFont="1" applyBorder="1">
      <alignment/>
      <protection/>
    </xf>
    <xf numFmtId="0" fontId="66" fillId="0" borderId="20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27" xfId="101" applyFont="1" applyBorder="1">
      <alignment/>
      <protection/>
    </xf>
    <xf numFmtId="0" fontId="66" fillId="0" borderId="20" xfId="101" applyFont="1" applyFill="1" applyBorder="1" applyAlignment="1">
      <alignment vertical="center"/>
      <protection/>
    </xf>
    <xf numFmtId="0" fontId="66" fillId="0" borderId="57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20" xfId="101" applyFont="1" applyFill="1" applyBorder="1">
      <alignment/>
      <protection/>
    </xf>
    <xf numFmtId="0" fontId="70" fillId="0" borderId="45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5" xfId="101" applyFont="1" applyFill="1" applyBorder="1" applyAlignment="1" applyProtection="1">
      <alignment horizontal="center" vertical="center" wrapText="1"/>
      <protection/>
    </xf>
    <xf numFmtId="3" fontId="66" fillId="0" borderId="28" xfId="101" applyNumberFormat="1" applyFont="1" applyBorder="1" applyAlignment="1">
      <alignment horizontal="right"/>
      <protection/>
    </xf>
    <xf numFmtId="3" fontId="1" fillId="0" borderId="31" xfId="101" applyNumberFormat="1" applyFont="1" applyBorder="1" applyAlignment="1">
      <alignment horizontal="right"/>
      <protection/>
    </xf>
    <xf numFmtId="3" fontId="66" fillId="0" borderId="31" xfId="101" applyNumberFormat="1" applyFont="1" applyBorder="1" applyAlignment="1">
      <alignment horizontal="right"/>
      <protection/>
    </xf>
    <xf numFmtId="3" fontId="66" fillId="0" borderId="25" xfId="101" applyNumberFormat="1" applyFont="1" applyBorder="1" applyAlignment="1">
      <alignment horizontal="right" vertical="center"/>
      <protection/>
    </xf>
    <xf numFmtId="3" fontId="66" fillId="0" borderId="25" xfId="101" applyNumberFormat="1" applyFont="1" applyFill="1" applyBorder="1" applyAlignment="1">
      <alignment vertical="center"/>
      <protection/>
    </xf>
    <xf numFmtId="3" fontId="66" fillId="0" borderId="28" xfId="101" applyNumberFormat="1" applyFont="1" applyFill="1" applyBorder="1">
      <alignment/>
      <protection/>
    </xf>
    <xf numFmtId="3" fontId="1" fillId="0" borderId="31" xfId="101" applyNumberFormat="1" applyFont="1" applyFill="1" applyBorder="1">
      <alignment/>
      <protection/>
    </xf>
    <xf numFmtId="3" fontId="66" fillId="0" borderId="25" xfId="101" applyNumberFormat="1" applyFont="1" applyFill="1" applyBorder="1">
      <alignment/>
      <protection/>
    </xf>
    <xf numFmtId="3" fontId="66" fillId="0" borderId="31" xfId="101" applyNumberFormat="1" applyFont="1" applyBorder="1">
      <alignment/>
      <protection/>
    </xf>
    <xf numFmtId="3" fontId="66" fillId="0" borderId="34" xfId="101" applyNumberFormat="1" applyFont="1" applyBorder="1">
      <alignment/>
      <protection/>
    </xf>
    <xf numFmtId="3" fontId="70" fillId="0" borderId="22" xfId="101" applyNumberFormat="1" applyFont="1" applyBorder="1" applyAlignment="1">
      <alignment vertical="center"/>
      <protection/>
    </xf>
    <xf numFmtId="0" fontId="53" fillId="0" borderId="49" xfId="0" applyFont="1" applyFill="1" applyBorder="1" applyAlignment="1" applyProtection="1">
      <alignment horizontal="center" vertical="center" wrapText="1"/>
      <protection/>
    </xf>
    <xf numFmtId="49" fontId="45" fillId="0" borderId="36" xfId="106" applyNumberFormat="1" applyFont="1" applyFill="1" applyBorder="1" applyAlignment="1" applyProtection="1">
      <alignment horizontal="left" vertical="center" wrapText="1" indent="1"/>
      <protection/>
    </xf>
    <xf numFmtId="167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80" xfId="0" applyNumberFormat="1" applyFont="1" applyBorder="1" applyAlignment="1">
      <alignment horizontal="left"/>
    </xf>
    <xf numFmtId="49" fontId="7" fillId="0" borderId="68" xfId="0" applyNumberFormat="1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13" fillId="0" borderId="19" xfId="103" applyFont="1" applyBorder="1" applyAlignment="1">
      <alignment vertical="center" wrapText="1"/>
      <protection/>
    </xf>
    <xf numFmtId="49" fontId="7" fillId="0" borderId="45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left" vertical="center"/>
    </xf>
    <xf numFmtId="3" fontId="7" fillId="0" borderId="30" xfId="0" applyNumberFormat="1" applyFont="1" applyFill="1" applyBorder="1" applyAlignment="1">
      <alignment vertical="center"/>
    </xf>
    <xf numFmtId="0" fontId="66" fillId="0" borderId="21" xfId="101" applyFont="1" applyFill="1" applyBorder="1">
      <alignment/>
      <protection/>
    </xf>
    <xf numFmtId="3" fontId="66" fillId="0" borderId="31" xfId="101" applyNumberFormat="1" applyFont="1" applyFill="1" applyBorder="1">
      <alignment/>
      <protection/>
    </xf>
    <xf numFmtId="0" fontId="1" fillId="0" borderId="29" xfId="101" applyFont="1" applyFill="1" applyBorder="1">
      <alignment/>
      <protection/>
    </xf>
    <xf numFmtId="0" fontId="66" fillId="0" borderId="45" xfId="101" applyFont="1" applyFill="1" applyBorder="1">
      <alignment/>
      <protection/>
    </xf>
    <xf numFmtId="3" fontId="66" fillId="0" borderId="22" xfId="101" applyNumberFormat="1" applyFont="1" applyFill="1" applyBorder="1">
      <alignment/>
      <protection/>
    </xf>
    <xf numFmtId="3" fontId="66" fillId="0" borderId="22" xfId="101" applyNumberFormat="1" applyFont="1" applyBorder="1" applyAlignment="1">
      <alignment horizontal="right"/>
      <protection/>
    </xf>
    <xf numFmtId="0" fontId="15" fillId="0" borderId="21" xfId="103" applyFont="1" applyFill="1" applyBorder="1" applyAlignment="1">
      <alignment horizontal="right" wrapText="1"/>
      <protection/>
    </xf>
    <xf numFmtId="0" fontId="71" fillId="0" borderId="0" xfId="103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0" fontId="19" fillId="0" borderId="0" xfId="105">
      <alignment/>
      <protection/>
    </xf>
    <xf numFmtId="0" fontId="71" fillId="0" borderId="0" xfId="103" applyFont="1">
      <alignment/>
      <protection/>
    </xf>
    <xf numFmtId="3" fontId="11" fillId="0" borderId="0" xfId="103" applyNumberFormat="1">
      <alignment/>
      <protection/>
    </xf>
    <xf numFmtId="0" fontId="13" fillId="0" borderId="47" xfId="103" applyFont="1" applyBorder="1" applyAlignment="1">
      <alignment horizontal="center" vertical="center" wrapText="1"/>
      <protection/>
    </xf>
    <xf numFmtId="0" fontId="11" fillId="0" borderId="57" xfId="103" applyBorder="1" applyAlignment="1">
      <alignment vertical="center" wrapText="1"/>
      <protection/>
    </xf>
    <xf numFmtId="0" fontId="11" fillId="0" borderId="0" xfId="103" applyAlignment="1">
      <alignment vertical="center" wrapText="1"/>
      <protection/>
    </xf>
    <xf numFmtId="0" fontId="13" fillId="0" borderId="49" xfId="103" applyFont="1" applyBorder="1" applyAlignment="1">
      <alignment horizontal="center" vertical="center" wrapText="1"/>
      <protection/>
    </xf>
    <xf numFmtId="166" fontId="74" fillId="0" borderId="69" xfId="105" applyNumberFormat="1" applyFont="1" applyBorder="1" applyAlignment="1">
      <alignment horizontal="center" vertical="center" wrapText="1"/>
      <protection/>
    </xf>
    <xf numFmtId="3" fontId="74" fillId="0" borderId="53" xfId="105" applyNumberFormat="1" applyFont="1" applyBorder="1" applyAlignment="1">
      <alignment horizontal="center" vertical="center" wrapText="1"/>
      <protection/>
    </xf>
    <xf numFmtId="3" fontId="74" fillId="0" borderId="46" xfId="105" applyNumberFormat="1" applyFont="1" applyBorder="1" applyAlignment="1">
      <alignment horizontal="center" vertical="center" wrapText="1"/>
      <protection/>
    </xf>
    <xf numFmtId="3" fontId="74" fillId="0" borderId="58" xfId="105" applyNumberFormat="1" applyFont="1" applyBorder="1" applyAlignment="1">
      <alignment horizontal="center" vertical="center" wrapText="1"/>
      <protection/>
    </xf>
    <xf numFmtId="3" fontId="76" fillId="0" borderId="24" xfId="105" applyNumberFormat="1" applyFont="1" applyFill="1" applyBorder="1" applyAlignment="1">
      <alignment vertical="top"/>
      <protection/>
    </xf>
    <xf numFmtId="3" fontId="76" fillId="0" borderId="26" xfId="105" applyNumberFormat="1" applyFont="1" applyFill="1" applyBorder="1" applyAlignment="1">
      <alignment vertical="top"/>
      <protection/>
    </xf>
    <xf numFmtId="3" fontId="76" fillId="0" borderId="50" xfId="105" applyNumberFormat="1" applyFont="1" applyFill="1" applyBorder="1" applyAlignment="1">
      <alignment vertical="top"/>
      <protection/>
    </xf>
    <xf numFmtId="0" fontId="75" fillId="0" borderId="39" xfId="105" applyFont="1" applyFill="1" applyBorder="1" applyAlignment="1">
      <alignment horizontal="left"/>
      <protection/>
    </xf>
    <xf numFmtId="3" fontId="76" fillId="0" borderId="21" xfId="105" applyNumberFormat="1" applyFont="1" applyFill="1" applyBorder="1" applyAlignment="1">
      <alignment vertical="top"/>
      <protection/>
    </xf>
    <xf numFmtId="3" fontId="76" fillId="0" borderId="31" xfId="105" applyNumberFormat="1" applyFont="1" applyFill="1" applyBorder="1" applyAlignment="1">
      <alignment vertical="top"/>
      <protection/>
    </xf>
    <xf numFmtId="3" fontId="76" fillId="0" borderId="32" xfId="105" applyNumberFormat="1" applyFont="1" applyFill="1" applyBorder="1" applyAlignment="1">
      <alignment vertical="top"/>
      <protection/>
    </xf>
    <xf numFmtId="3" fontId="76" fillId="0" borderId="21" xfId="105" applyNumberFormat="1" applyFont="1" applyFill="1" applyBorder="1">
      <alignment/>
      <protection/>
    </xf>
    <xf numFmtId="3" fontId="76" fillId="0" borderId="31" xfId="105" applyNumberFormat="1" applyFont="1" applyFill="1" applyBorder="1">
      <alignment/>
      <protection/>
    </xf>
    <xf numFmtId="3" fontId="76" fillId="0" borderId="32" xfId="105" applyNumberFormat="1" applyFont="1" applyFill="1" applyBorder="1">
      <alignment/>
      <protection/>
    </xf>
    <xf numFmtId="0" fontId="11" fillId="0" borderId="30" xfId="103" applyFont="1" applyBorder="1" applyAlignment="1">
      <alignment horizontal="center" vertical="center"/>
      <protection/>
    </xf>
    <xf numFmtId="3" fontId="76" fillId="0" borderId="30" xfId="105" applyNumberFormat="1" applyFont="1" applyFill="1" applyBorder="1">
      <alignment/>
      <protection/>
    </xf>
    <xf numFmtId="3" fontId="76" fillId="0" borderId="22" xfId="105" applyNumberFormat="1" applyFont="1" applyFill="1" applyBorder="1">
      <alignment/>
      <protection/>
    </xf>
    <xf numFmtId="3" fontId="76" fillId="0" borderId="23" xfId="105" applyNumberFormat="1" applyFont="1" applyFill="1" applyBorder="1">
      <alignment/>
      <protection/>
    </xf>
    <xf numFmtId="0" fontId="11" fillId="0" borderId="47" xfId="103" applyFont="1" applyBorder="1" applyAlignment="1">
      <alignment horizontal="center" vertical="center"/>
      <protection/>
    </xf>
    <xf numFmtId="3" fontId="77" fillId="0" borderId="47" xfId="105" applyNumberFormat="1" applyFont="1" applyBorder="1" applyAlignment="1">
      <alignment vertical="center"/>
      <protection/>
    </xf>
    <xf numFmtId="3" fontId="77" fillId="0" borderId="25" xfId="105" applyNumberFormat="1" applyFont="1" applyBorder="1" applyAlignment="1">
      <alignment vertical="center"/>
      <protection/>
    </xf>
    <xf numFmtId="3" fontId="17" fillId="0" borderId="0" xfId="103" applyNumberFormat="1" applyFont="1" applyAlignment="1">
      <alignment horizontal="right" vertical="center"/>
      <protection/>
    </xf>
    <xf numFmtId="0" fontId="79" fillId="0" borderId="0" xfId="103" applyFont="1" applyAlignment="1">
      <alignment vertical="center"/>
      <protection/>
    </xf>
    <xf numFmtId="0" fontId="80" fillId="0" borderId="57" xfId="103" applyFont="1" applyBorder="1" applyAlignment="1">
      <alignment vertical="center"/>
      <protection/>
    </xf>
    <xf numFmtId="0" fontId="23" fillId="50" borderId="36" xfId="103" applyFont="1" applyFill="1" applyBorder="1" applyAlignment="1">
      <alignment horizontal="center" vertical="center" wrapText="1"/>
      <protection/>
    </xf>
    <xf numFmtId="0" fontId="11" fillId="0" borderId="57" xfId="103" applyBorder="1" applyAlignment="1">
      <alignment vertical="center"/>
      <protection/>
    </xf>
    <xf numFmtId="0" fontId="23" fillId="50" borderId="41" xfId="103" applyFont="1" applyFill="1" applyBorder="1" applyAlignment="1">
      <alignment horizontal="center" vertical="center" wrapText="1"/>
      <protection/>
    </xf>
    <xf numFmtId="3" fontId="23" fillId="50" borderId="81" xfId="103" applyNumberFormat="1" applyFont="1" applyFill="1" applyBorder="1" applyAlignment="1">
      <alignment horizontal="center" vertical="center" wrapText="1"/>
      <protection/>
    </xf>
    <xf numFmtId="3" fontId="23" fillId="50" borderId="82" xfId="103" applyNumberFormat="1" applyFont="1" applyFill="1" applyBorder="1" applyAlignment="1">
      <alignment horizontal="center" vertical="center" wrapText="1"/>
      <protection/>
    </xf>
    <xf numFmtId="0" fontId="75" fillId="0" borderId="29" xfId="0" applyFont="1" applyBorder="1" applyAlignment="1">
      <alignment vertical="center" wrapText="1"/>
    </xf>
    <xf numFmtId="0" fontId="75" fillId="0" borderId="31" xfId="0" applyFont="1" applyBorder="1" applyAlignment="1">
      <alignment horizontal="center" vertical="center" wrapText="1"/>
    </xf>
    <xf numFmtId="3" fontId="32" fillId="0" borderId="31" xfId="103" applyNumberFormat="1" applyFont="1" applyBorder="1" applyAlignment="1">
      <alignment horizontal="right" vertical="center" wrapText="1"/>
      <protection/>
    </xf>
    <xf numFmtId="3" fontId="32" fillId="0" borderId="28" xfId="103" applyNumberFormat="1" applyFont="1" applyBorder="1" applyAlignment="1">
      <alignment horizontal="right" vertical="center" wrapText="1"/>
      <protection/>
    </xf>
    <xf numFmtId="10" fontId="32" fillId="0" borderId="28" xfId="103" applyNumberFormat="1" applyFont="1" applyBorder="1" applyAlignment="1">
      <alignment horizontal="right" vertical="center" wrapText="1"/>
      <protection/>
    </xf>
    <xf numFmtId="10" fontId="32" fillId="0" borderId="31" xfId="103" applyNumberFormat="1" applyFont="1" applyBorder="1" applyAlignment="1">
      <alignment horizontal="right" vertical="center" wrapText="1"/>
      <protection/>
    </xf>
    <xf numFmtId="10" fontId="32" fillId="0" borderId="32" xfId="103" applyNumberFormat="1" applyFont="1" applyBorder="1" applyAlignment="1">
      <alignment horizontal="right" vertical="center" wrapText="1"/>
      <protection/>
    </xf>
    <xf numFmtId="3" fontId="32" fillId="0" borderId="31" xfId="103" applyNumberFormat="1" applyFont="1" applyFill="1" applyBorder="1" applyAlignment="1">
      <alignment vertical="center"/>
      <protection/>
    </xf>
    <xf numFmtId="3" fontId="23" fillId="50" borderId="83" xfId="103" applyNumberFormat="1" applyFont="1" applyFill="1" applyBorder="1" applyAlignment="1">
      <alignment horizontal="center" vertical="center" wrapText="1"/>
      <protection/>
    </xf>
    <xf numFmtId="3" fontId="23" fillId="50" borderId="84" xfId="103" applyNumberFormat="1" applyFont="1" applyFill="1" applyBorder="1" applyAlignment="1">
      <alignment horizontal="center" vertical="center" wrapText="1"/>
      <protection/>
    </xf>
    <xf numFmtId="3" fontId="38" fillId="50" borderId="84" xfId="103" applyNumberFormat="1" applyFont="1" applyFill="1" applyBorder="1" applyAlignment="1">
      <alignment horizontal="right" vertical="center" wrapText="1"/>
      <protection/>
    </xf>
    <xf numFmtId="10" fontId="38" fillId="50" borderId="84" xfId="103" applyNumberFormat="1" applyFont="1" applyFill="1" applyBorder="1" applyAlignment="1">
      <alignment horizontal="right" vertical="center" wrapText="1"/>
      <protection/>
    </xf>
    <xf numFmtId="3" fontId="23" fillId="0" borderId="0" xfId="103" applyNumberFormat="1" applyFont="1" applyFill="1" applyBorder="1" applyAlignment="1">
      <alignment horizontal="center" vertical="center" wrapText="1"/>
      <protection/>
    </xf>
    <xf numFmtId="3" fontId="38" fillId="0" borderId="0" xfId="103" applyNumberFormat="1" applyFont="1" applyFill="1" applyBorder="1" applyAlignment="1">
      <alignment horizontal="right" vertical="center" wrapText="1"/>
      <protection/>
    </xf>
    <xf numFmtId="0" fontId="80" fillId="0" borderId="0" xfId="103" applyFont="1" applyAlignment="1">
      <alignment vertical="center"/>
      <protection/>
    </xf>
    <xf numFmtId="0" fontId="11" fillId="0" borderId="57" xfId="103" applyFill="1" applyBorder="1" applyAlignment="1">
      <alignment vertical="center"/>
      <protection/>
    </xf>
    <xf numFmtId="0" fontId="11" fillId="0" borderId="0" xfId="103" applyFill="1" applyAlignment="1">
      <alignment vertical="center"/>
      <protection/>
    </xf>
    <xf numFmtId="0" fontId="23" fillId="50" borderId="85" xfId="103" applyFont="1" applyFill="1" applyBorder="1" applyAlignment="1">
      <alignment horizontal="center" vertical="center" wrapText="1"/>
      <protection/>
    </xf>
    <xf numFmtId="0" fontId="23" fillId="50" borderId="82" xfId="103" applyFont="1" applyFill="1" applyBorder="1" applyAlignment="1">
      <alignment horizontal="center" vertical="center" wrapText="1"/>
      <protection/>
    </xf>
    <xf numFmtId="0" fontId="75" fillId="0" borderId="27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center" wrapText="1"/>
    </xf>
    <xf numFmtId="3" fontId="32" fillId="0" borderId="28" xfId="103" applyNumberFormat="1" applyFont="1" applyFill="1" applyBorder="1" applyAlignment="1">
      <alignment horizontal="right" vertical="center" wrapText="1"/>
      <protection/>
    </xf>
    <xf numFmtId="3" fontId="32" fillId="0" borderId="31" xfId="103" applyNumberFormat="1" applyFont="1" applyFill="1" applyBorder="1" applyAlignment="1">
      <alignment horizontal="right" vertical="center" wrapText="1"/>
      <protection/>
    </xf>
    <xf numFmtId="0" fontId="75" fillId="0" borderId="29" xfId="0" applyFont="1" applyFill="1" applyBorder="1" applyAlignment="1">
      <alignment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vertical="center" wrapText="1"/>
    </xf>
    <xf numFmtId="0" fontId="75" fillId="0" borderId="34" xfId="0" applyFont="1" applyFill="1" applyBorder="1" applyAlignment="1">
      <alignment horizontal="center" vertical="center" wrapText="1"/>
    </xf>
    <xf numFmtId="3" fontId="32" fillId="0" borderId="34" xfId="103" applyNumberFormat="1" applyFont="1" applyFill="1" applyBorder="1" applyAlignment="1">
      <alignment horizontal="right" vertical="center" wrapText="1"/>
      <protection/>
    </xf>
    <xf numFmtId="0" fontId="75" fillId="0" borderId="57" xfId="0" applyFont="1" applyFill="1" applyBorder="1" applyAlignment="1">
      <alignment vertical="center" wrapText="1"/>
    </xf>
    <xf numFmtId="0" fontId="75" fillId="0" borderId="36" xfId="0" applyFont="1" applyFill="1" applyBorder="1" applyAlignment="1">
      <alignment horizontal="center" vertical="center" wrapText="1"/>
    </xf>
    <xf numFmtId="3" fontId="32" fillId="0" borderId="36" xfId="103" applyNumberFormat="1" applyFont="1" applyFill="1" applyBorder="1" applyAlignment="1">
      <alignment horizontal="right" vertical="center" wrapText="1"/>
      <protection/>
    </xf>
    <xf numFmtId="10" fontId="11" fillId="0" borderId="0" xfId="103" applyNumberFormat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67" fontId="27" fillId="0" borderId="0" xfId="106" applyNumberFormat="1" applyFont="1" applyFill="1" applyBorder="1" applyAlignment="1" applyProtection="1">
      <alignment horizontal="centerContinuous" vertical="center"/>
      <protection/>
    </xf>
    <xf numFmtId="0" fontId="46" fillId="0" borderId="24" xfId="106" applyFont="1" applyFill="1" applyBorder="1" applyAlignment="1" applyProtection="1">
      <alignment horizontal="center" vertical="center" wrapText="1"/>
      <protection/>
    </xf>
    <xf numFmtId="0" fontId="46" fillId="0" borderId="26" xfId="106" applyFont="1" applyFill="1" applyBorder="1" applyAlignment="1" applyProtection="1">
      <alignment horizontal="center" vertical="center" wrapText="1"/>
      <protection/>
    </xf>
    <xf numFmtId="0" fontId="46" fillId="0" borderId="50" xfId="106" applyFont="1" applyFill="1" applyBorder="1" applyAlignment="1" applyProtection="1">
      <alignment horizontal="center" vertical="center" wrapText="1"/>
      <protection/>
    </xf>
    <xf numFmtId="0" fontId="30" fillId="0" borderId="47" xfId="106" applyFont="1" applyFill="1" applyBorder="1" applyAlignment="1" applyProtection="1">
      <alignment horizontal="center" vertical="center"/>
      <protection/>
    </xf>
    <xf numFmtId="0" fontId="30" fillId="0" borderId="25" xfId="106" applyFont="1" applyFill="1" applyBorder="1" applyAlignment="1" applyProtection="1">
      <alignment horizontal="center" vertical="center"/>
      <protection/>
    </xf>
    <xf numFmtId="0" fontId="30" fillId="0" borderId="48" xfId="106" applyFont="1" applyFill="1" applyBorder="1" applyAlignment="1" applyProtection="1">
      <alignment horizontal="center" vertical="center"/>
      <protection/>
    </xf>
    <xf numFmtId="0" fontId="30" fillId="0" borderId="24" xfId="106" applyFont="1" applyFill="1" applyBorder="1" applyAlignment="1" applyProtection="1">
      <alignment horizontal="center" vertical="center"/>
      <protection/>
    </xf>
    <xf numFmtId="0" fontId="30" fillId="0" borderId="28" xfId="106" applyFont="1" applyFill="1" applyBorder="1" applyAlignment="1" applyProtection="1">
      <alignment vertical="center"/>
      <protection/>
    </xf>
    <xf numFmtId="168" fontId="30" fillId="0" borderId="50" xfId="68" applyNumberFormat="1" applyFont="1" applyFill="1" applyBorder="1" applyAlignment="1" applyProtection="1">
      <alignment vertical="center"/>
      <protection locked="0"/>
    </xf>
    <xf numFmtId="0" fontId="30" fillId="0" borderId="33" xfId="106" applyFont="1" applyFill="1" applyBorder="1" applyAlignment="1" applyProtection="1">
      <alignment horizontal="center" vertical="center"/>
      <protection/>
    </xf>
    <xf numFmtId="168" fontId="30" fillId="0" borderId="60" xfId="68" applyNumberFormat="1" applyFont="1" applyFill="1" applyBorder="1" applyAlignment="1" applyProtection="1">
      <alignment vertical="center"/>
      <protection locked="0"/>
    </xf>
    <xf numFmtId="0" fontId="30" fillId="0" borderId="21" xfId="106" applyFont="1" applyFill="1" applyBorder="1" applyAlignment="1" applyProtection="1">
      <alignment horizontal="center" vertical="center"/>
      <protection/>
    </xf>
    <xf numFmtId="0" fontId="76" fillId="0" borderId="31" xfId="0" applyFont="1" applyFill="1" applyBorder="1" applyAlignment="1">
      <alignment horizontal="justify" vertical="center" wrapText="1"/>
    </xf>
    <xf numFmtId="168" fontId="30" fillId="0" borderId="32" xfId="68" applyNumberFormat="1" applyFont="1" applyFill="1" applyBorder="1" applyAlignment="1" applyProtection="1">
      <alignment vertical="center"/>
      <protection locked="0"/>
    </xf>
    <xf numFmtId="0" fontId="76" fillId="0" borderId="31" xfId="0" applyFont="1" applyFill="1" applyBorder="1" applyAlignment="1">
      <alignment vertical="center" wrapText="1"/>
    </xf>
    <xf numFmtId="168" fontId="30" fillId="0" borderId="61" xfId="68" applyNumberFormat="1" applyFont="1" applyFill="1" applyBorder="1" applyAlignment="1" applyProtection="1">
      <alignment vertical="center"/>
      <protection locked="0"/>
    </xf>
    <xf numFmtId="168" fontId="46" fillId="0" borderId="48" xfId="68" applyNumberFormat="1" applyFont="1" applyFill="1" applyBorder="1" applyAlignment="1" applyProtection="1">
      <alignment vertical="center"/>
      <protection/>
    </xf>
    <xf numFmtId="0" fontId="45" fillId="0" borderId="0" xfId="106" applyFont="1" applyFill="1" applyBorder="1" applyAlignment="1">
      <alignment horizontal="justify" vertical="center" wrapText="1"/>
      <protection/>
    </xf>
    <xf numFmtId="167" fontId="9" fillId="0" borderId="0" xfId="0" applyNumberFormat="1" applyFont="1" applyFill="1" applyAlignment="1">
      <alignment horizontal="left" vertical="center" wrapText="1"/>
    </xf>
    <xf numFmtId="3" fontId="3" fillId="49" borderId="48" xfId="0" applyNumberFormat="1" applyFont="1" applyFill="1" applyBorder="1" applyAlignment="1">
      <alignment horizontal="right" vertical="center" wrapText="1"/>
    </xf>
    <xf numFmtId="10" fontId="3" fillId="49" borderId="48" xfId="0" applyNumberFormat="1" applyFont="1" applyFill="1" applyBorder="1" applyAlignment="1">
      <alignment horizontal="right" vertical="center" wrapText="1"/>
    </xf>
    <xf numFmtId="10" fontId="7" fillId="49" borderId="50" xfId="0" applyNumberFormat="1" applyFont="1" applyFill="1" applyBorder="1" applyAlignment="1">
      <alignment horizontal="right" vertical="center" wrapText="1"/>
    </xf>
    <xf numFmtId="10" fontId="7" fillId="49" borderId="32" xfId="0" applyNumberFormat="1" applyFont="1" applyFill="1" applyBorder="1" applyAlignment="1">
      <alignment horizontal="right" vertical="center" wrapText="1"/>
    </xf>
    <xf numFmtId="10" fontId="7" fillId="0" borderId="32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3" fillId="0" borderId="54" xfId="0" applyNumberFormat="1" applyFont="1" applyFill="1" applyBorder="1" applyAlignment="1">
      <alignment horizontal="centerContinuous" vertical="center" wrapText="1"/>
    </xf>
    <xf numFmtId="0" fontId="4" fillId="0" borderId="49" xfId="0" applyFont="1" applyBorder="1" applyAlignment="1">
      <alignment vertical="center"/>
    </xf>
    <xf numFmtId="0" fontId="0" fillId="0" borderId="87" xfId="0" applyFill="1" applyBorder="1" applyAlignment="1" applyProtection="1">
      <alignment horizontal="right" vertical="center" wrapText="1" indent="1"/>
      <protection/>
    </xf>
    <xf numFmtId="10" fontId="4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9" fillId="0" borderId="88" xfId="0" applyNumberFormat="1" applyFont="1" applyFill="1" applyBorder="1" applyAlignment="1" applyProtection="1">
      <alignment horizontal="center" vertical="center" wrapText="1"/>
      <protection/>
    </xf>
    <xf numFmtId="167" fontId="49" fillId="0" borderId="62" xfId="0" applyNumberFormat="1" applyFont="1" applyFill="1" applyBorder="1" applyAlignment="1" applyProtection="1">
      <alignment horizontal="center" vertical="center" wrapText="1"/>
      <protection/>
    </xf>
    <xf numFmtId="3" fontId="12" fillId="0" borderId="25" xfId="103" applyNumberFormat="1" applyFont="1" applyFill="1" applyBorder="1" applyAlignment="1">
      <alignment horizontal="right" vertical="center"/>
      <protection/>
    </xf>
    <xf numFmtId="3" fontId="15" fillId="0" borderId="31" xfId="103" applyNumberFormat="1" applyFont="1" applyFill="1" applyBorder="1" applyAlignment="1">
      <alignment vertical="center"/>
      <protection/>
    </xf>
    <xf numFmtId="3" fontId="15" fillId="0" borderId="26" xfId="0" applyNumberFormat="1" applyFont="1" applyFill="1" applyBorder="1" applyAlignment="1">
      <alignment horizontal="right" vertical="center"/>
    </xf>
    <xf numFmtId="0" fontId="6" fillId="1" borderId="43" xfId="103" applyFont="1" applyFill="1" applyBorder="1" applyAlignment="1">
      <alignment horizontal="center" vertical="center"/>
      <protection/>
    </xf>
    <xf numFmtId="0" fontId="0" fillId="0" borderId="73" xfId="103" applyFont="1" applyFill="1" applyBorder="1" applyAlignment="1">
      <alignment horizontal="center" vertical="center"/>
      <protection/>
    </xf>
    <xf numFmtId="0" fontId="2" fillId="0" borderId="40" xfId="103" applyFont="1" applyBorder="1" applyAlignment="1">
      <alignment horizontal="center" vertical="center"/>
      <protection/>
    </xf>
    <xf numFmtId="0" fontId="2" fillId="0" borderId="67" xfId="103" applyFont="1" applyBorder="1" applyAlignment="1">
      <alignment horizontal="center" vertical="center"/>
      <protection/>
    </xf>
    <xf numFmtId="0" fontId="0" fillId="0" borderId="67" xfId="103" applyFont="1" applyFill="1" applyBorder="1" applyAlignment="1">
      <alignment horizontal="center" vertical="center"/>
      <protection/>
    </xf>
    <xf numFmtId="0" fontId="6" fillId="0" borderId="63" xfId="103" applyFont="1" applyBorder="1" applyAlignment="1">
      <alignment vertical="center"/>
      <protection/>
    </xf>
    <xf numFmtId="0" fontId="6" fillId="1" borderId="47" xfId="103" applyFont="1" applyFill="1" applyBorder="1" applyAlignment="1">
      <alignment horizontal="center" vertical="center" wrapText="1"/>
      <protection/>
    </xf>
    <xf numFmtId="3" fontId="7" fillId="0" borderId="24" xfId="103" applyNumberFormat="1" applyFont="1" applyFill="1" applyBorder="1" applyAlignment="1">
      <alignment horizontal="right" vertical="center"/>
      <protection/>
    </xf>
    <xf numFmtId="3" fontId="7" fillId="0" borderId="33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Fill="1" applyBorder="1" applyAlignment="1">
      <alignment horizontal="right" vertical="center"/>
      <protection/>
    </xf>
    <xf numFmtId="3" fontId="3" fillId="0" borderId="47" xfId="103" applyNumberFormat="1" applyFont="1" applyBorder="1" applyAlignment="1">
      <alignment vertical="center"/>
      <protection/>
    </xf>
    <xf numFmtId="10" fontId="41" fillId="0" borderId="67" xfId="103" applyNumberFormat="1" applyFont="1" applyFill="1" applyBorder="1" applyAlignment="1">
      <alignment horizontal="right"/>
      <protection/>
    </xf>
    <xf numFmtId="0" fontId="11" fillId="0" borderId="0" xfId="103" applyFont="1" applyBorder="1">
      <alignment/>
      <protection/>
    </xf>
    <xf numFmtId="3" fontId="18" fillId="0" borderId="89" xfId="68" applyNumberFormat="1" applyFont="1" applyBorder="1" applyAlignment="1">
      <alignment horizontal="right" vertical="center"/>
    </xf>
    <xf numFmtId="3" fontId="18" fillId="0" borderId="89" xfId="103" applyNumberFormat="1" applyFont="1" applyBorder="1" applyAlignment="1">
      <alignment horizontal="right"/>
      <protection/>
    </xf>
    <xf numFmtId="3" fontId="18" fillId="0" borderId="90" xfId="103" applyNumberFormat="1" applyFont="1" applyBorder="1" applyAlignment="1">
      <alignment horizontal="right"/>
      <protection/>
    </xf>
    <xf numFmtId="10" fontId="18" fillId="0" borderId="23" xfId="103" applyNumberFormat="1" applyFont="1" applyFill="1" applyBorder="1" applyAlignment="1">
      <alignment horizontal="right"/>
      <protection/>
    </xf>
    <xf numFmtId="3" fontId="1" fillId="0" borderId="34" xfId="101" applyNumberFormat="1" applyFont="1" applyBorder="1">
      <alignment/>
      <protection/>
    </xf>
    <xf numFmtId="0" fontId="29" fillId="0" borderId="0" xfId="106" applyFont="1" applyFill="1">
      <alignment/>
      <protection/>
    </xf>
    <xf numFmtId="0" fontId="29" fillId="0" borderId="0" xfId="106" applyFont="1" applyFill="1" applyAlignment="1">
      <alignment vertical="center" wrapText="1"/>
      <protection/>
    </xf>
    <xf numFmtId="167" fontId="84" fillId="0" borderId="0" xfId="106" applyNumberFormat="1" applyFont="1" applyFill="1" applyBorder="1" applyAlignment="1" applyProtection="1">
      <alignment vertical="center" wrapText="1"/>
      <protection/>
    </xf>
    <xf numFmtId="167" fontId="27" fillId="0" borderId="0" xfId="106" applyNumberFormat="1" applyFont="1" applyFill="1" applyBorder="1" applyAlignment="1" applyProtection="1">
      <alignment horizontal="centerContinuous" vertic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6" fillId="0" borderId="0" xfId="106" applyFont="1" applyFill="1" applyBorder="1" applyAlignment="1">
      <alignment vertical="center" wrapText="1"/>
      <protection/>
    </xf>
    <xf numFmtId="0" fontId="46" fillId="0" borderId="34" xfId="106" applyFont="1" applyFill="1" applyBorder="1" applyAlignment="1">
      <alignment horizontal="center" vertical="center" wrapText="1"/>
      <protection/>
    </xf>
    <xf numFmtId="0" fontId="30" fillId="0" borderId="47" xfId="106" applyFont="1" applyFill="1" applyBorder="1" applyAlignment="1">
      <alignment horizontal="center" vertical="center"/>
      <protection/>
    </xf>
    <xf numFmtId="0" fontId="30" fillId="0" borderId="25" xfId="106" applyFont="1" applyFill="1" applyBorder="1" applyAlignment="1">
      <alignment horizontal="center" vertical="center" wrapText="1"/>
      <protection/>
    </xf>
    <xf numFmtId="0" fontId="30" fillId="0" borderId="25" xfId="106" applyFont="1" applyFill="1" applyBorder="1" applyAlignment="1">
      <alignment horizontal="center" vertical="center"/>
      <protection/>
    </xf>
    <xf numFmtId="0" fontId="30" fillId="0" borderId="48" xfId="106" applyFont="1" applyFill="1" applyBorder="1" applyAlignment="1">
      <alignment horizontal="center" vertical="center"/>
      <protection/>
    </xf>
    <xf numFmtId="0" fontId="30" fillId="0" borderId="24" xfId="106" applyFont="1" applyFill="1" applyBorder="1" applyAlignment="1">
      <alignment horizontal="center" vertical="center"/>
      <protection/>
    </xf>
    <xf numFmtId="168" fontId="30" fillId="0" borderId="50" xfId="68" applyNumberFormat="1" applyFont="1" applyFill="1" applyBorder="1" applyAlignment="1" applyProtection="1">
      <alignment horizontal="right" vertical="center"/>
      <protection locked="0"/>
    </xf>
    <xf numFmtId="0" fontId="30" fillId="0" borderId="21" xfId="106" applyFont="1" applyFill="1" applyBorder="1" applyAlignment="1">
      <alignment horizontal="center" vertical="center"/>
      <protection/>
    </xf>
    <xf numFmtId="168" fontId="30" fillId="0" borderId="31" xfId="68" applyNumberFormat="1" applyFont="1" applyFill="1" applyBorder="1" applyAlignment="1" applyProtection="1">
      <alignment horizontal="right" vertical="center"/>
      <protection locked="0"/>
    </xf>
    <xf numFmtId="168" fontId="30" fillId="0" borderId="32" xfId="68" applyNumberFormat="1" applyFont="1" applyFill="1" applyBorder="1" applyAlignment="1" applyProtection="1">
      <alignment horizontal="right" vertical="center"/>
      <protection locked="0"/>
    </xf>
    <xf numFmtId="0" fontId="30" fillId="0" borderId="35" xfId="106" applyFont="1" applyFill="1" applyBorder="1" applyAlignment="1">
      <alignment horizontal="center" vertical="center"/>
      <protection/>
    </xf>
    <xf numFmtId="0" fontId="30" fillId="0" borderId="34" xfId="106" applyFont="1" applyFill="1" applyBorder="1" applyAlignment="1" applyProtection="1">
      <alignment vertical="center" wrapText="1"/>
      <protection locked="0"/>
    </xf>
    <xf numFmtId="168" fontId="30" fillId="0" borderId="34" xfId="68" applyNumberFormat="1" applyFont="1" applyFill="1" applyBorder="1" applyAlignment="1" applyProtection="1">
      <alignment horizontal="right" vertical="center"/>
      <protection locked="0"/>
    </xf>
    <xf numFmtId="168" fontId="30" fillId="0" borderId="61" xfId="68" applyNumberFormat="1" applyFont="1" applyFill="1" applyBorder="1" applyAlignment="1" applyProtection="1">
      <alignment horizontal="right" vertical="center"/>
      <protection locked="0"/>
    </xf>
    <xf numFmtId="0" fontId="46" fillId="0" borderId="25" xfId="106" applyFont="1" applyFill="1" applyBorder="1" applyAlignment="1">
      <alignment vertical="center" wrapText="1"/>
      <protection/>
    </xf>
    <xf numFmtId="168" fontId="30" fillId="0" borderId="25" xfId="106" applyNumberFormat="1" applyFont="1" applyFill="1" applyBorder="1" applyAlignment="1">
      <alignment horizontal="right" vertical="center"/>
      <protection/>
    </xf>
    <xf numFmtId="168" fontId="30" fillId="0" borderId="48" xfId="106" applyNumberFormat="1" applyFont="1" applyFill="1" applyBorder="1" applyAlignment="1">
      <alignment horizontal="right" vertical="center"/>
      <protection/>
    </xf>
    <xf numFmtId="0" fontId="29" fillId="0" borderId="0" xfId="106" applyFont="1" applyFill="1" applyBorder="1" applyAlignment="1">
      <alignment vertical="center" wrapText="1"/>
      <protection/>
    </xf>
    <xf numFmtId="0" fontId="30" fillId="0" borderId="0" xfId="106" applyFont="1" applyFill="1" applyBorder="1" applyAlignment="1" applyProtection="1">
      <alignment vertical="center" wrapText="1"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3" fontId="87" fillId="0" borderId="22" xfId="101" applyNumberFormat="1" applyFont="1" applyFill="1" applyBorder="1" applyAlignment="1">
      <alignment horizontal="center" vertical="center"/>
      <protection/>
    </xf>
    <xf numFmtId="3" fontId="87" fillId="0" borderId="89" xfId="101" applyNumberFormat="1" applyFont="1" applyFill="1" applyBorder="1" applyAlignment="1">
      <alignment horizontal="center" vertical="center"/>
      <protection/>
    </xf>
    <xf numFmtId="3" fontId="87" fillId="0" borderId="23" xfId="101" applyNumberFormat="1" applyFont="1" applyFill="1" applyBorder="1" applyAlignment="1">
      <alignment horizontal="center" vertical="center"/>
      <protection/>
    </xf>
    <xf numFmtId="3" fontId="26" fillId="0" borderId="33" xfId="101" applyNumberFormat="1" applyFont="1" applyBorder="1" applyAlignment="1">
      <alignment vertical="center" wrapText="1"/>
      <protection/>
    </xf>
    <xf numFmtId="3" fontId="26" fillId="0" borderId="21" xfId="101" applyNumberFormat="1" applyFont="1" applyBorder="1" applyAlignment="1">
      <alignment vertical="center" wrapText="1"/>
      <protection/>
    </xf>
    <xf numFmtId="3" fontId="26" fillId="0" borderId="35" xfId="101" applyNumberFormat="1" applyFont="1" applyBorder="1" applyAlignment="1">
      <alignment vertical="center" wrapText="1"/>
      <protection/>
    </xf>
    <xf numFmtId="3" fontId="26" fillId="0" borderId="30" xfId="101" applyNumberFormat="1" applyFont="1" applyBorder="1" applyAlignment="1">
      <alignment vertical="center" wrapText="1"/>
      <protection/>
    </xf>
    <xf numFmtId="3" fontId="24" fillId="0" borderId="44" xfId="101" applyNumberFormat="1" applyFont="1" applyBorder="1" applyAlignment="1">
      <alignment vertical="center" wrapText="1"/>
      <protection/>
    </xf>
    <xf numFmtId="3" fontId="24" fillId="0" borderId="51" xfId="101" applyNumberFormat="1" applyFont="1" applyBorder="1" applyAlignment="1">
      <alignment vertical="center"/>
      <protection/>
    </xf>
    <xf numFmtId="3" fontId="24" fillId="0" borderId="52" xfId="101" applyNumberFormat="1" applyFont="1" applyBorder="1" applyAlignment="1">
      <alignment vertical="center"/>
      <protection/>
    </xf>
    <xf numFmtId="0" fontId="26" fillId="0" borderId="33" xfId="101" applyFont="1" applyFill="1" applyBorder="1" applyAlignment="1">
      <alignment vertical="center"/>
      <protection/>
    </xf>
    <xf numFmtId="0" fontId="26" fillId="0" borderId="30" xfId="101" applyFont="1" applyFill="1" applyBorder="1" applyAlignment="1">
      <alignment vertical="center"/>
      <protection/>
    </xf>
    <xf numFmtId="0" fontId="24" fillId="0" borderId="44" xfId="101" applyFont="1" applyFill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3" fontId="29" fillId="0" borderId="0" xfId="106" applyNumberFormat="1" applyFont="1" applyFill="1">
      <alignment/>
      <protection/>
    </xf>
    <xf numFmtId="168" fontId="29" fillId="0" borderId="0" xfId="106" applyNumberFormat="1" applyFont="1" applyFill="1">
      <alignment/>
      <protection/>
    </xf>
    <xf numFmtId="0" fontId="12" fillId="1" borderId="32" xfId="103" applyFont="1" applyFill="1" applyBorder="1" applyAlignment="1">
      <alignment horizontal="center" vertical="center"/>
      <protection/>
    </xf>
    <xf numFmtId="0" fontId="12" fillId="1" borderId="21" xfId="103" applyFont="1" applyFill="1" applyBorder="1" applyAlignment="1">
      <alignment horizontal="center" vertical="center"/>
      <protection/>
    </xf>
    <xf numFmtId="3" fontId="66" fillId="0" borderId="51" xfId="101" applyNumberFormat="1" applyFont="1" applyBorder="1" applyAlignment="1">
      <alignment horizontal="right"/>
      <protection/>
    </xf>
    <xf numFmtId="0" fontId="66" fillId="0" borderId="65" xfId="101" applyFont="1" applyFill="1" applyBorder="1">
      <alignment/>
      <protection/>
    </xf>
    <xf numFmtId="3" fontId="66" fillId="0" borderId="51" xfId="101" applyNumberFormat="1" applyFont="1" applyFill="1" applyBorder="1">
      <alignment/>
      <protection/>
    </xf>
    <xf numFmtId="0" fontId="12" fillId="1" borderId="78" xfId="103" applyFont="1" applyFill="1" applyBorder="1" applyAlignment="1">
      <alignment horizontal="center" vertical="center" wrapText="1"/>
      <protection/>
    </xf>
    <xf numFmtId="0" fontId="12" fillId="1" borderId="78" xfId="103" applyFont="1" applyFill="1" applyBorder="1" applyAlignment="1">
      <alignment horizontal="center" vertical="center"/>
      <protection/>
    </xf>
    <xf numFmtId="3" fontId="11" fillId="0" borderId="57" xfId="103" applyNumberFormat="1" applyFont="1" applyBorder="1">
      <alignment/>
      <protection/>
    </xf>
    <xf numFmtId="167" fontId="49" fillId="0" borderId="91" xfId="0" applyNumberFormat="1" applyFont="1" applyFill="1" applyBorder="1" applyAlignment="1" applyProtection="1">
      <alignment horizontal="center" vertical="center" wrapText="1"/>
      <protection/>
    </xf>
    <xf numFmtId="167" fontId="49" fillId="0" borderId="72" xfId="0" applyNumberFormat="1" applyFont="1" applyFill="1" applyBorder="1" applyAlignment="1" applyProtection="1">
      <alignment horizontal="center" vertical="center" wrapText="1"/>
      <protection/>
    </xf>
    <xf numFmtId="10" fontId="66" fillId="0" borderId="28" xfId="101" applyNumberFormat="1" applyFont="1" applyBorder="1" applyAlignment="1">
      <alignment horizontal="right"/>
      <protection/>
    </xf>
    <xf numFmtId="10" fontId="66" fillId="0" borderId="51" xfId="101" applyNumberFormat="1" applyFont="1" applyBorder="1" applyAlignment="1">
      <alignment horizontal="right"/>
      <protection/>
    </xf>
    <xf numFmtId="10" fontId="66" fillId="0" borderId="25" xfId="101" applyNumberFormat="1" applyFont="1" applyBorder="1" applyAlignment="1">
      <alignment horizontal="right" vertical="center"/>
      <protection/>
    </xf>
    <xf numFmtId="10" fontId="66" fillId="0" borderId="25" xfId="101" applyNumberFormat="1" applyFont="1" applyFill="1" applyBorder="1" applyAlignment="1">
      <alignment vertical="center"/>
      <protection/>
    </xf>
    <xf numFmtId="10" fontId="66" fillId="0" borderId="25" xfId="101" applyNumberFormat="1" applyFont="1" applyFill="1" applyBorder="1">
      <alignment/>
      <protection/>
    </xf>
    <xf numFmtId="10" fontId="66" fillId="0" borderId="31" xfId="101" applyNumberFormat="1" applyFont="1" applyBorder="1">
      <alignment/>
      <protection/>
    </xf>
    <xf numFmtId="10" fontId="66" fillId="0" borderId="34" xfId="101" applyNumberFormat="1" applyFont="1" applyBorder="1">
      <alignment/>
      <protection/>
    </xf>
    <xf numFmtId="3" fontId="3" fillId="0" borderId="55" xfId="0" applyNumberFormat="1" applyFont="1" applyFill="1" applyBorder="1" applyAlignment="1">
      <alignment horizontal="center" vertical="center" wrapText="1"/>
    </xf>
    <xf numFmtId="167" fontId="53" fillId="0" borderId="6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2" fillId="0" borderId="67" xfId="103" applyNumberFormat="1" applyFont="1" applyFill="1" applyBorder="1" applyAlignment="1">
      <alignment vertical="center"/>
      <protection/>
    </xf>
    <xf numFmtId="3" fontId="32" fillId="0" borderId="64" xfId="103" applyNumberFormat="1" applyFont="1" applyFill="1" applyBorder="1" applyAlignment="1">
      <alignment horizontal="right" vertical="center" wrapText="1"/>
      <protection/>
    </xf>
    <xf numFmtId="3" fontId="32" fillId="0" borderId="91" xfId="103" applyNumberFormat="1" applyFont="1" applyFill="1" applyBorder="1" applyAlignment="1">
      <alignment horizontal="right" vertical="center" wrapText="1"/>
      <protection/>
    </xf>
    <xf numFmtId="3" fontId="18" fillId="0" borderId="75" xfId="103" applyNumberFormat="1" applyFont="1" applyBorder="1" applyAlignment="1">
      <alignment horizontal="right"/>
      <protection/>
    </xf>
    <xf numFmtId="0" fontId="12" fillId="1" borderId="40" xfId="103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centerContinuous" vertical="center" wrapText="1"/>
    </xf>
    <xf numFmtId="0" fontId="75" fillId="0" borderId="86" xfId="0" applyFont="1" applyBorder="1" applyAlignment="1">
      <alignment vertical="center" wrapText="1"/>
    </xf>
    <xf numFmtId="0" fontId="75" fillId="0" borderId="92" xfId="0" applyFont="1" applyBorder="1" applyAlignment="1">
      <alignment horizontal="center" vertical="center" wrapText="1"/>
    </xf>
    <xf numFmtId="3" fontId="32" fillId="0" borderId="92" xfId="103" applyNumberFormat="1" applyFont="1" applyFill="1" applyBorder="1" applyAlignment="1">
      <alignment vertical="center"/>
      <protection/>
    </xf>
    <xf numFmtId="10" fontId="32" fillId="0" borderId="92" xfId="103" applyNumberFormat="1" applyFont="1" applyBorder="1" applyAlignment="1">
      <alignment horizontal="right" vertical="center" wrapText="1"/>
      <protection/>
    </xf>
    <xf numFmtId="3" fontId="15" fillId="0" borderId="0" xfId="103" applyNumberFormat="1" applyFont="1">
      <alignment/>
      <protection/>
    </xf>
    <xf numFmtId="167" fontId="42" fillId="0" borderId="19" xfId="106" applyNumberFormat="1" applyFont="1" applyFill="1" applyBorder="1" applyAlignment="1" applyProtection="1">
      <alignment vertical="center"/>
      <protection/>
    </xf>
    <xf numFmtId="3" fontId="11" fillId="0" borderId="57" xfId="103" applyNumberFormat="1" applyBorder="1" applyAlignment="1">
      <alignment vertical="center"/>
      <protection/>
    </xf>
    <xf numFmtId="0" fontId="66" fillId="0" borderId="30" xfId="101" applyFont="1" applyBorder="1">
      <alignment/>
      <protection/>
    </xf>
    <xf numFmtId="0" fontId="1" fillId="0" borderId="41" xfId="101" applyFont="1" applyFill="1" applyBorder="1">
      <alignment/>
      <protection/>
    </xf>
    <xf numFmtId="3" fontId="1" fillId="0" borderId="34" xfId="101" applyNumberFormat="1" applyFont="1" applyFill="1" applyBorder="1">
      <alignment/>
      <protection/>
    </xf>
    <xf numFmtId="0" fontId="1" fillId="0" borderId="41" xfId="101" applyFont="1" applyBorder="1">
      <alignment/>
      <protection/>
    </xf>
    <xf numFmtId="0" fontId="1" fillId="0" borderId="41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3" fontId="26" fillId="0" borderId="28" xfId="101" applyNumberFormat="1" applyFont="1" applyFill="1" applyBorder="1" applyAlignment="1">
      <alignment vertical="center"/>
      <protection/>
    </xf>
    <xf numFmtId="3" fontId="26" fillId="0" borderId="28" xfId="101" applyNumberFormat="1" applyFont="1" applyFill="1" applyBorder="1" applyAlignment="1">
      <alignment horizontal="right" vertical="center"/>
      <protection/>
    </xf>
    <xf numFmtId="3" fontId="26" fillId="0" borderId="32" xfId="101" applyNumberFormat="1" applyFont="1" applyFill="1" applyBorder="1" applyAlignment="1">
      <alignment horizontal="right" vertical="center"/>
      <protection/>
    </xf>
    <xf numFmtId="3" fontId="26" fillId="0" borderId="31" xfId="101" applyNumberFormat="1" applyFont="1" applyFill="1" applyBorder="1" applyAlignment="1">
      <alignment vertical="center"/>
      <protection/>
    </xf>
    <xf numFmtId="3" fontId="26" fillId="0" borderId="31" xfId="101" applyNumberFormat="1" applyFont="1" applyFill="1" applyBorder="1" applyAlignment="1">
      <alignment horizontal="right" vertical="center"/>
      <protection/>
    </xf>
    <xf numFmtId="3" fontId="26" fillId="0" borderId="34" xfId="101" applyNumberFormat="1" applyFont="1" applyFill="1" applyBorder="1" applyAlignment="1">
      <alignment vertical="center"/>
      <protection/>
    </xf>
    <xf numFmtId="3" fontId="26" fillId="0" borderId="34" xfId="101" applyNumberFormat="1" applyFont="1" applyFill="1" applyBorder="1" applyAlignment="1">
      <alignment horizontal="right" vertical="center"/>
      <protection/>
    </xf>
    <xf numFmtId="3" fontId="26" fillId="0" borderId="22" xfId="101" applyNumberFormat="1" applyFont="1" applyFill="1" applyBorder="1" applyAlignment="1">
      <alignment vertical="center"/>
      <protection/>
    </xf>
    <xf numFmtId="3" fontId="26" fillId="0" borderId="22" xfId="101" applyNumberFormat="1" applyFont="1" applyFill="1" applyBorder="1" applyAlignment="1">
      <alignment horizontal="right" vertical="center"/>
      <protection/>
    </xf>
    <xf numFmtId="3" fontId="26" fillId="0" borderId="23" xfId="101" applyNumberFormat="1" applyFont="1" applyFill="1" applyBorder="1" applyAlignment="1">
      <alignment horizontal="right" vertical="center"/>
      <protection/>
    </xf>
    <xf numFmtId="10" fontId="66" fillId="0" borderId="51" xfId="101" applyNumberFormat="1" applyFont="1" applyFill="1" applyBorder="1" applyAlignment="1">
      <alignment horizontal="center"/>
      <protection/>
    </xf>
    <xf numFmtId="0" fontId="32" fillId="0" borderId="31" xfId="103" applyFont="1" applyFill="1" applyBorder="1" applyAlignment="1">
      <alignment vertical="center" wrapText="1"/>
      <protection/>
    </xf>
    <xf numFmtId="0" fontId="0" fillId="0" borderId="27" xfId="103" applyFont="1" applyFill="1" applyBorder="1" applyAlignment="1">
      <alignment horizontal="center" vertical="center"/>
      <protection/>
    </xf>
    <xf numFmtId="0" fontId="0" fillId="0" borderId="28" xfId="103" applyFont="1" applyFill="1" applyBorder="1" applyAlignment="1">
      <alignment horizontal="left" vertical="center" wrapText="1"/>
      <protection/>
    </xf>
    <xf numFmtId="0" fontId="0" fillId="0" borderId="40" xfId="103" applyFont="1" applyFill="1" applyBorder="1" applyAlignment="1">
      <alignment horizontal="center" vertical="center"/>
      <protection/>
    </xf>
    <xf numFmtId="3" fontId="7" fillId="0" borderId="33" xfId="103" applyNumberFormat="1" applyFont="1" applyFill="1" applyBorder="1" applyAlignment="1">
      <alignment horizontal="right" vertical="center"/>
      <protection/>
    </xf>
    <xf numFmtId="167" fontId="5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36" xfId="106" applyFont="1" applyFill="1" applyBorder="1" applyAlignment="1" applyProtection="1">
      <alignment horizontal="left" vertical="center" wrapText="1" indent="1"/>
      <protection/>
    </xf>
    <xf numFmtId="0" fontId="45" fillId="0" borderId="26" xfId="0" applyFont="1" applyFill="1" applyBorder="1" applyAlignment="1" applyProtection="1">
      <alignment horizontal="left" vertical="center" wrapText="1" indent="1"/>
      <protection/>
    </xf>
    <xf numFmtId="167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31" xfId="0" applyFont="1" applyFill="1" applyBorder="1" applyAlignment="1" applyProtection="1">
      <alignment horizontal="left" vertical="center" wrapText="1" indent="1"/>
      <protection/>
    </xf>
    <xf numFmtId="167" fontId="53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35" xfId="0" applyFont="1" applyFill="1" applyBorder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left" vertical="center" wrapText="1" indent="1"/>
      <protection/>
    </xf>
    <xf numFmtId="167" fontId="53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4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5" xfId="0" applyFont="1" applyFill="1" applyBorder="1" applyAlignment="1" applyProtection="1">
      <alignment horizontal="left" vertical="center" wrapText="1" indent="1"/>
      <protection/>
    </xf>
    <xf numFmtId="167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3" xfId="0" applyFont="1" applyFill="1" applyBorder="1" applyAlignment="1" applyProtection="1">
      <alignment horizontal="left" vertical="center" wrapText="1" indent="1"/>
      <protection/>
    </xf>
    <xf numFmtId="0" fontId="45" fillId="0" borderId="67" xfId="0" applyFont="1" applyFill="1" applyBorder="1" applyAlignment="1" applyProtection="1">
      <alignment horizontal="left" vertical="center" wrapText="1" indent="1"/>
      <protection/>
    </xf>
    <xf numFmtId="0" fontId="45" fillId="0" borderId="64" xfId="0" applyFont="1" applyFill="1" applyBorder="1" applyAlignment="1" applyProtection="1">
      <alignment horizontal="left" vertical="center" wrapText="1" indent="1"/>
      <protection/>
    </xf>
    <xf numFmtId="167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30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103" applyFont="1" applyAlignment="1">
      <alignment horizontal="center"/>
      <protection/>
    </xf>
    <xf numFmtId="2" fontId="37" fillId="0" borderId="32" xfId="104" applyNumberFormat="1" applyFont="1" applyFill="1" applyBorder="1" applyAlignment="1">
      <alignment horizontal="center" vertical="center" wrapText="1"/>
      <protection/>
    </xf>
    <xf numFmtId="2" fontId="35" fillId="0" borderId="52" xfId="104" applyNumberFormat="1" applyFont="1" applyBorder="1" applyAlignment="1">
      <alignment horizontal="center" vertical="center"/>
      <protection/>
    </xf>
    <xf numFmtId="3" fontId="0" fillId="0" borderId="69" xfId="0" applyNumberFormat="1" applyFont="1" applyBorder="1" applyAlignment="1">
      <alignment/>
    </xf>
    <xf numFmtId="0" fontId="18" fillId="0" borderId="0" xfId="103" applyFont="1" applyAlignment="1">
      <alignment wrapText="1"/>
      <protection/>
    </xf>
    <xf numFmtId="0" fontId="3" fillId="0" borderId="43" xfId="0" applyFont="1" applyFill="1" applyBorder="1" applyAlignment="1">
      <alignment horizontal="centerContinuous" vertical="center" wrapText="1"/>
    </xf>
    <xf numFmtId="3" fontId="15" fillId="0" borderId="31" xfId="0" applyNumberFormat="1" applyFont="1" applyFill="1" applyBorder="1" applyAlignment="1">
      <alignment vertical="center"/>
    </xf>
    <xf numFmtId="3" fontId="15" fillId="0" borderId="28" xfId="0" applyNumberFormat="1" applyFont="1" applyFill="1" applyBorder="1" applyAlignment="1">
      <alignment horizontal="right" vertical="center"/>
    </xf>
    <xf numFmtId="3" fontId="15" fillId="0" borderId="31" xfId="0" applyNumberFormat="1" applyFont="1" applyFill="1" applyBorder="1" applyAlignment="1">
      <alignment horizontal="right" vertical="center"/>
    </xf>
    <xf numFmtId="3" fontId="15" fillId="0" borderId="31" xfId="103" applyNumberFormat="1" applyFont="1" applyFill="1" applyBorder="1" applyAlignment="1">
      <alignment vertical="center"/>
      <protection/>
    </xf>
    <xf numFmtId="0" fontId="14" fillId="0" borderId="31" xfId="0" applyFont="1" applyFill="1" applyBorder="1" applyAlignment="1">
      <alignment vertical="center"/>
    </xf>
    <xf numFmtId="3" fontId="7" fillId="49" borderId="32" xfId="0" applyNumberFormat="1" applyFont="1" applyFill="1" applyBorder="1" applyAlignment="1">
      <alignment horizontal="right" vertical="center" wrapText="1"/>
    </xf>
    <xf numFmtId="10" fontId="3" fillId="0" borderId="48" xfId="0" applyNumberFormat="1" applyFont="1" applyFill="1" applyBorder="1" applyAlignment="1">
      <alignment horizontal="centerContinuous" vertical="center" wrapText="1"/>
    </xf>
    <xf numFmtId="0" fontId="53" fillId="0" borderId="33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left" vertical="center" wrapText="1" indent="1"/>
      <protection/>
    </xf>
    <xf numFmtId="167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53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41" xfId="0" applyFont="1" applyBorder="1" applyAlignment="1">
      <alignment vertical="center" wrapText="1"/>
    </xf>
    <xf numFmtId="0" fontId="75" fillId="0" borderId="34" xfId="0" applyFont="1" applyBorder="1" applyAlignment="1">
      <alignment horizontal="center" vertical="center" wrapText="1"/>
    </xf>
    <xf numFmtId="3" fontId="32" fillId="0" borderId="34" xfId="103" applyNumberFormat="1" applyFont="1" applyFill="1" applyBorder="1" applyAlignment="1">
      <alignment vertical="center"/>
      <protection/>
    </xf>
    <xf numFmtId="10" fontId="32" fillId="0" borderId="34" xfId="103" applyNumberFormat="1" applyFont="1" applyBorder="1" applyAlignment="1">
      <alignment horizontal="right" vertical="center" wrapText="1"/>
      <protection/>
    </xf>
    <xf numFmtId="0" fontId="41" fillId="0" borderId="0" xfId="103" applyFont="1">
      <alignment/>
      <protection/>
    </xf>
    <xf numFmtId="3" fontId="41" fillId="0" borderId="0" xfId="103" applyNumberFormat="1" applyFont="1">
      <alignment/>
      <protection/>
    </xf>
    <xf numFmtId="3" fontId="14" fillId="0" borderId="0" xfId="103" applyNumberFormat="1" applyFont="1" applyAlignment="1">
      <alignment horizontal="center"/>
      <protection/>
    </xf>
    <xf numFmtId="3" fontId="41" fillId="51" borderId="64" xfId="103" applyNumberFormat="1" applyFont="1" applyFill="1" applyBorder="1" applyAlignment="1">
      <alignment horizontal="right"/>
      <protection/>
    </xf>
    <xf numFmtId="3" fontId="41" fillId="51" borderId="34" xfId="103" applyNumberFormat="1" applyFont="1" applyFill="1" applyBorder="1" applyAlignment="1">
      <alignment horizontal="right"/>
      <protection/>
    </xf>
    <xf numFmtId="3" fontId="15" fillId="0" borderId="0" xfId="103" applyNumberFormat="1" applyFont="1" applyFill="1">
      <alignment/>
      <protection/>
    </xf>
    <xf numFmtId="3" fontId="41" fillId="0" borderId="64" xfId="103" applyNumberFormat="1" applyFont="1" applyFill="1" applyBorder="1" applyAlignment="1">
      <alignment horizontal="right"/>
      <protection/>
    </xf>
    <xf numFmtId="3" fontId="41" fillId="0" borderId="34" xfId="103" applyNumberFormat="1" applyFont="1" applyFill="1" applyBorder="1" applyAlignment="1">
      <alignment horizontal="right"/>
      <protection/>
    </xf>
    <xf numFmtId="3" fontId="145" fillId="0" borderId="0" xfId="0" applyNumberFormat="1" applyFont="1" applyBorder="1" applyAlignment="1">
      <alignment/>
    </xf>
    <xf numFmtId="0" fontId="146" fillId="0" borderId="0" xfId="0" applyFont="1" applyAlignment="1">
      <alignment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31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147" fillId="0" borderId="0" xfId="103" applyNumberFormat="1" applyFont="1" applyFill="1" applyBorder="1" applyAlignment="1">
      <alignment horizontal="right" vertical="center"/>
      <protection/>
    </xf>
    <xf numFmtId="0" fontId="148" fillId="0" borderId="0" xfId="103" applyFont="1">
      <alignment/>
      <protection/>
    </xf>
    <xf numFmtId="0" fontId="149" fillId="0" borderId="0" xfId="103" applyFont="1">
      <alignment/>
      <protection/>
    </xf>
    <xf numFmtId="3" fontId="11" fillId="0" borderId="27" xfId="103" applyNumberFormat="1" applyFont="1" applyBorder="1" applyAlignment="1">
      <alignment vertical="center"/>
      <protection/>
    </xf>
    <xf numFmtId="167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167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7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49" fontId="0" fillId="0" borderId="80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49" fontId="0" fillId="0" borderId="29" xfId="0" applyNumberFormat="1" applyFont="1" applyFill="1" applyBorder="1" applyAlignment="1">
      <alignment horizontal="left"/>
    </xf>
    <xf numFmtId="3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7" xfId="0" applyNumberFormat="1" applyFont="1" applyFill="1" applyBorder="1" applyAlignment="1">
      <alignment horizontal="left"/>
    </xf>
    <xf numFmtId="3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1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3" fontId="2" fillId="0" borderId="47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/>
    </xf>
    <xf numFmtId="3" fontId="145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2" xfId="103" applyNumberFormat="1" applyFont="1" applyFill="1" applyBorder="1" applyAlignment="1">
      <alignment vertical="center"/>
      <protection/>
    </xf>
    <xf numFmtId="0" fontId="66" fillId="0" borderId="41" xfId="101" applyFont="1" applyBorder="1" applyAlignment="1">
      <alignment wrapText="1"/>
      <protection/>
    </xf>
    <xf numFmtId="3" fontId="15" fillId="0" borderId="34" xfId="103" applyNumberFormat="1" applyFont="1" applyFill="1" applyBorder="1" applyAlignment="1">
      <alignment vertical="center"/>
      <protection/>
    </xf>
    <xf numFmtId="3" fontId="15" fillId="0" borderId="34" xfId="103" applyNumberFormat="1" applyFont="1" applyFill="1" applyBorder="1" applyAlignment="1">
      <alignment horizontal="right" vertical="center"/>
      <protection/>
    </xf>
    <xf numFmtId="0" fontId="14" fillId="0" borderId="38" xfId="0" applyFont="1" applyFill="1" applyBorder="1" applyAlignment="1">
      <alignment vertical="center" wrapText="1"/>
    </xf>
    <xf numFmtId="0" fontId="53" fillId="0" borderId="54" xfId="0" applyFont="1" applyFill="1" applyBorder="1" applyAlignment="1" applyProtection="1">
      <alignment horizontal="center" vertical="center" wrapText="1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6" fillId="0" borderId="47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6" fillId="0" borderId="56" xfId="95" applyFont="1" applyBorder="1" applyAlignment="1">
      <alignment/>
      <protection/>
    </xf>
    <xf numFmtId="0" fontId="6" fillId="0" borderId="31" xfId="95" applyFont="1" applyBorder="1" applyAlignment="1">
      <alignment/>
      <protection/>
    </xf>
    <xf numFmtId="0" fontId="0" fillId="0" borderId="31" xfId="95" applyBorder="1" applyAlignment="1">
      <alignment wrapText="1"/>
      <protection/>
    </xf>
    <xf numFmtId="3" fontId="6" fillId="0" borderId="31" xfId="95" applyNumberFormat="1" applyFont="1" applyBorder="1" applyAlignment="1">
      <alignment wrapText="1"/>
      <protection/>
    </xf>
    <xf numFmtId="3" fontId="6" fillId="0" borderId="31" xfId="95" applyNumberFormat="1" applyFont="1" applyBorder="1">
      <alignment/>
      <protection/>
    </xf>
    <xf numFmtId="0" fontId="0" fillId="0" borderId="31" xfId="95" applyBorder="1">
      <alignment/>
      <protection/>
    </xf>
    <xf numFmtId="0" fontId="6" fillId="0" borderId="33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wrapText="1"/>
      <protection/>
    </xf>
    <xf numFmtId="3" fontId="0" fillId="0" borderId="28" xfId="95" applyNumberFormat="1" applyBorder="1">
      <alignment/>
      <protection/>
    </xf>
    <xf numFmtId="0" fontId="0" fillId="0" borderId="28" xfId="95" applyFont="1" applyBorder="1" applyAlignment="1">
      <alignment/>
      <protection/>
    </xf>
    <xf numFmtId="0" fontId="0" fillId="0" borderId="34" xfId="95" applyFont="1" applyBorder="1" applyAlignment="1">
      <alignment vertical="center" wrapText="1"/>
      <protection/>
    </xf>
    <xf numFmtId="3" fontId="0" fillId="0" borderId="34" xfId="95" applyNumberFormat="1" applyBorder="1">
      <alignment/>
      <protection/>
    </xf>
    <xf numFmtId="0" fontId="0" fillId="0" borderId="34" xfId="95" applyFont="1" applyBorder="1">
      <alignment/>
      <protection/>
    </xf>
    <xf numFmtId="0" fontId="0" fillId="0" borderId="34" xfId="95" applyBorder="1">
      <alignment/>
      <protection/>
    </xf>
    <xf numFmtId="0" fontId="0" fillId="0" borderId="22" xfId="95" applyBorder="1" applyAlignment="1">
      <alignment wrapText="1"/>
      <protection/>
    </xf>
    <xf numFmtId="3" fontId="0" fillId="0" borderId="22" xfId="95" applyNumberFormat="1" applyBorder="1" applyAlignment="1">
      <alignment/>
      <protection/>
    </xf>
    <xf numFmtId="0" fontId="0" fillId="0" borderId="22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4" xfId="95" applyFont="1" applyBorder="1" applyAlignment="1">
      <alignment horizontal="center" vertical="center"/>
      <protection/>
    </xf>
    <xf numFmtId="0" fontId="0" fillId="0" borderId="26" xfId="95" applyFont="1" applyBorder="1" applyAlignment="1">
      <alignment horizontal="left" vertical="center" wrapText="1"/>
      <protection/>
    </xf>
    <xf numFmtId="3" fontId="0" fillId="0" borderId="26" xfId="95" applyNumberFormat="1" applyBorder="1" applyAlignment="1">
      <alignment horizontal="right" vertical="center"/>
      <protection/>
    </xf>
    <xf numFmtId="0" fontId="0" fillId="0" borderId="26" xfId="95" applyFont="1" applyBorder="1" applyAlignment="1">
      <alignment horizontal="lef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2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4" xfId="95" applyFont="1" applyBorder="1" applyAlignment="1">
      <alignment horizontal="center" vertical="center" wrapText="1"/>
      <protection/>
    </xf>
    <xf numFmtId="0" fontId="0" fillId="0" borderId="26" xfId="95" applyFont="1" applyBorder="1" applyAlignment="1">
      <alignment vertical="center" wrapText="1"/>
      <protection/>
    </xf>
    <xf numFmtId="3" fontId="0" fillId="0" borderId="26" xfId="95" applyNumberFormat="1" applyFont="1" applyBorder="1" applyAlignment="1">
      <alignment vertical="center" wrapText="1"/>
      <protection/>
    </xf>
    <xf numFmtId="0" fontId="0" fillId="0" borderId="26" xfId="95" applyFont="1" applyBorder="1" applyAlignment="1">
      <alignment vertical="center"/>
      <protection/>
    </xf>
    <xf numFmtId="0" fontId="0" fillId="0" borderId="36" xfId="95" applyFont="1" applyBorder="1" applyAlignment="1">
      <alignment vertical="center" wrapText="1"/>
      <protection/>
    </xf>
    <xf numFmtId="3" fontId="0" fillId="0" borderId="36" xfId="95" applyNumberFormat="1" applyFont="1" applyBorder="1" applyAlignment="1">
      <alignment vertical="center" wrapText="1"/>
      <protection/>
    </xf>
    <xf numFmtId="0" fontId="0" fillId="0" borderId="36" xfId="95" applyFont="1" applyBorder="1" applyAlignment="1">
      <alignment vertical="center"/>
      <protection/>
    </xf>
    <xf numFmtId="3" fontId="150" fillId="0" borderId="33" xfId="103" applyNumberFormat="1" applyFont="1" applyBorder="1" applyAlignment="1">
      <alignment horizontal="right" vertical="center"/>
      <protection/>
    </xf>
    <xf numFmtId="3" fontId="15" fillId="0" borderId="93" xfId="103" applyNumberFormat="1" applyFont="1" applyFill="1" applyBorder="1" applyAlignment="1">
      <alignment horizontal="right" vertical="center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66" fillId="51" borderId="34" xfId="101" applyNumberFormat="1" applyFont="1" applyFill="1" applyBorder="1">
      <alignment/>
      <protection/>
    </xf>
    <xf numFmtId="3" fontId="95" fillId="0" borderId="25" xfId="101" applyNumberFormat="1" applyFont="1" applyFill="1" applyBorder="1" applyAlignment="1">
      <alignment vertical="center"/>
      <protection/>
    </xf>
    <xf numFmtId="3" fontId="71" fillId="0" borderId="0" xfId="103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3" applyFont="1" applyFill="1" applyBorder="1" applyAlignment="1">
      <alignment horizontal="center" vertical="center"/>
      <protection/>
    </xf>
    <xf numFmtId="0" fontId="11" fillId="0" borderId="0" xfId="103" applyFont="1" applyFill="1" applyAlignment="1">
      <alignment vertical="center"/>
      <protection/>
    </xf>
    <xf numFmtId="0" fontId="11" fillId="0" borderId="19" xfId="103" applyFont="1" applyFill="1" applyBorder="1" applyAlignment="1">
      <alignment vertical="center"/>
      <protection/>
    </xf>
    <xf numFmtId="3" fontId="12" fillId="0" borderId="0" xfId="103" applyNumberFormat="1" applyFont="1" applyFill="1" applyBorder="1" applyAlignment="1">
      <alignment horizontal="center" vertical="center"/>
      <protection/>
    </xf>
    <xf numFmtId="0" fontId="16" fillId="0" borderId="47" xfId="103" applyFont="1" applyFill="1" applyBorder="1" applyAlignment="1">
      <alignment horizontal="center" vertical="center"/>
      <protection/>
    </xf>
    <xf numFmtId="0" fontId="16" fillId="0" borderId="25" xfId="103" applyFont="1" applyFill="1" applyBorder="1" applyAlignment="1">
      <alignment horizontal="center" vertical="center"/>
      <protection/>
    </xf>
    <xf numFmtId="0" fontId="16" fillId="0" borderId="63" xfId="103" applyFont="1" applyFill="1" applyBorder="1" applyAlignment="1">
      <alignment horizontal="center" vertical="center"/>
      <protection/>
    </xf>
    <xf numFmtId="0" fontId="13" fillId="0" borderId="0" xfId="103" applyFont="1" applyFill="1" applyAlignment="1">
      <alignment vertical="center"/>
      <protection/>
    </xf>
    <xf numFmtId="0" fontId="16" fillId="0" borderId="49" xfId="103" applyFont="1" applyFill="1" applyBorder="1" applyAlignment="1">
      <alignment horizontal="center" vertical="center"/>
      <protection/>
    </xf>
    <xf numFmtId="0" fontId="16" fillId="0" borderId="36" xfId="103" applyFont="1" applyFill="1" applyBorder="1" applyAlignment="1">
      <alignment horizontal="center" vertical="center"/>
      <protection/>
    </xf>
    <xf numFmtId="0" fontId="16" fillId="0" borderId="91" xfId="103" applyFont="1" applyFill="1" applyBorder="1" applyAlignment="1">
      <alignment horizontal="center" vertical="center"/>
      <protection/>
    </xf>
    <xf numFmtId="3" fontId="16" fillId="0" borderId="53" xfId="103" applyNumberFormat="1" applyFont="1" applyFill="1" applyBorder="1" applyAlignment="1">
      <alignment horizontal="center" vertical="center"/>
      <protection/>
    </xf>
    <xf numFmtId="3" fontId="16" fillId="0" borderId="46" xfId="103" applyNumberFormat="1" applyFont="1" applyFill="1" applyBorder="1" applyAlignment="1">
      <alignment horizontal="center" vertical="center" wrapText="1"/>
      <protection/>
    </xf>
    <xf numFmtId="3" fontId="16" fillId="0" borderId="46" xfId="103" applyNumberFormat="1" applyFont="1" applyFill="1" applyBorder="1" applyAlignment="1">
      <alignment horizontal="center" vertical="center"/>
      <protection/>
    </xf>
    <xf numFmtId="3" fontId="16" fillId="0" borderId="58" xfId="103" applyNumberFormat="1" applyFont="1" applyFill="1" applyBorder="1" applyAlignment="1">
      <alignment horizontal="center" vertical="center"/>
      <protection/>
    </xf>
    <xf numFmtId="0" fontId="11" fillId="0" borderId="21" xfId="103" applyFont="1" applyFill="1" applyBorder="1" applyAlignment="1">
      <alignment horizontal="center" vertical="center"/>
      <protection/>
    </xf>
    <xf numFmtId="0" fontId="14" fillId="0" borderId="67" xfId="103" applyFont="1" applyFill="1" applyBorder="1" applyAlignment="1">
      <alignment horizontal="center" vertical="center"/>
      <protection/>
    </xf>
    <xf numFmtId="0" fontId="16" fillId="0" borderId="0" xfId="103" applyFont="1" applyFill="1" applyBorder="1" applyAlignment="1">
      <alignment horizontal="center" vertical="center"/>
      <protection/>
    </xf>
    <xf numFmtId="3" fontId="11" fillId="0" borderId="0" xfId="103" applyNumberFormat="1" applyFont="1" applyFill="1" applyAlignment="1">
      <alignment vertical="center"/>
      <protection/>
    </xf>
    <xf numFmtId="0" fontId="148" fillId="0" borderId="0" xfId="103" applyFont="1" applyFill="1" applyAlignment="1">
      <alignment vertical="center"/>
      <protection/>
    </xf>
    <xf numFmtId="0" fontId="11" fillId="0" borderId="0" xfId="103" applyFont="1" applyFill="1" applyAlignment="1">
      <alignment horizontal="center" vertical="center"/>
      <protection/>
    </xf>
    <xf numFmtId="0" fontId="16" fillId="0" borderId="53" xfId="103" applyFont="1" applyFill="1" applyBorder="1" applyAlignment="1">
      <alignment horizontal="center" vertical="center"/>
      <protection/>
    </xf>
    <xf numFmtId="0" fontId="11" fillId="0" borderId="24" xfId="103" applyFont="1" applyFill="1" applyBorder="1" applyAlignment="1">
      <alignment horizontal="center" vertical="center"/>
      <protection/>
    </xf>
    <xf numFmtId="0" fontId="11" fillId="0" borderId="33" xfId="103" applyFont="1" applyFill="1" applyBorder="1" applyAlignment="1">
      <alignment horizontal="center" vertical="center"/>
      <protection/>
    </xf>
    <xf numFmtId="0" fontId="148" fillId="0" borderId="0" xfId="103" applyFont="1" applyFill="1" applyAlignment="1">
      <alignment vertical="center"/>
      <protection/>
    </xf>
    <xf numFmtId="3" fontId="96" fillId="0" borderId="31" xfId="101" applyNumberFormat="1" applyFont="1" applyFill="1" applyBorder="1">
      <alignment/>
      <protection/>
    </xf>
    <xf numFmtId="3" fontId="16" fillId="0" borderId="47" xfId="103" applyNumberFormat="1" applyFont="1" applyFill="1" applyBorder="1" applyAlignment="1">
      <alignment horizontal="center" vertical="center"/>
      <protection/>
    </xf>
    <xf numFmtId="3" fontId="16" fillId="0" borderId="25" xfId="103" applyNumberFormat="1" applyFont="1" applyFill="1" applyBorder="1" applyAlignment="1">
      <alignment horizontal="center" vertical="center"/>
      <protection/>
    </xf>
    <xf numFmtId="3" fontId="16" fillId="0" borderId="48" xfId="103" applyNumberFormat="1" applyFont="1" applyFill="1" applyBorder="1" applyAlignment="1">
      <alignment horizontal="center" vertical="center"/>
      <protection/>
    </xf>
    <xf numFmtId="3" fontId="90" fillId="0" borderId="0" xfId="103" applyNumberFormat="1" applyFont="1" applyAlignment="1">
      <alignment horizontal="right"/>
      <protection/>
    </xf>
    <xf numFmtId="0" fontId="6" fillId="0" borderId="63" xfId="95" applyFont="1" applyBorder="1" applyAlignment="1">
      <alignment horizontal="center" vertical="center"/>
      <protection/>
    </xf>
    <xf numFmtId="0" fontId="6" fillId="0" borderId="43" xfId="95" applyFont="1" applyBorder="1" applyAlignment="1">
      <alignment horizontal="center" vertical="center"/>
      <protection/>
    </xf>
    <xf numFmtId="10" fontId="53" fillId="0" borderId="25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6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8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31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34" xfId="117" applyNumberFormat="1" applyFont="1" applyFill="1" applyBorder="1" applyAlignment="1" applyProtection="1">
      <alignment horizontal="right" vertical="center" wrapText="1" indent="1"/>
      <protection/>
    </xf>
    <xf numFmtId="10" fontId="53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31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6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51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25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4" xfId="117" applyNumberFormat="1" applyFont="1" applyFill="1" applyBorder="1" applyAlignment="1" applyProtection="1">
      <alignment horizontal="right" vertical="center" wrapText="1" indent="1"/>
      <protection/>
    </xf>
    <xf numFmtId="10" fontId="53" fillId="0" borderId="59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36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2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4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4" xfId="117" applyNumberFormat="1" applyFont="1" applyFill="1" applyBorder="1" applyAlignment="1" applyProtection="1">
      <alignment horizontal="right" vertical="center" wrapText="1" indent="1"/>
      <protection/>
    </xf>
    <xf numFmtId="10" fontId="53" fillId="0" borderId="47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4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1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35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30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1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4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4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7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3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49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30" xfId="117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7" xfId="117" applyNumberFormat="1" applyFont="1" applyFill="1" applyBorder="1" applyAlignment="1" applyProtection="1">
      <alignment horizontal="right" vertical="center" wrapText="1" indent="1"/>
      <protection/>
    </xf>
    <xf numFmtId="10" fontId="53" fillId="0" borderId="0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0" xfId="117" applyNumberFormat="1" applyFont="1" applyFill="1" applyAlignment="1" applyProtection="1">
      <alignment horizontal="right" vertical="center" wrapText="1" indent="1"/>
      <protection/>
    </xf>
    <xf numFmtId="10" fontId="53" fillId="0" borderId="25" xfId="117" applyNumberFormat="1" applyFont="1" applyFill="1" applyBorder="1" applyAlignment="1" applyProtection="1">
      <alignment horizontal="right" vertical="center" wrapText="1" indent="1"/>
      <protection/>
    </xf>
    <xf numFmtId="10" fontId="45" fillId="0" borderId="28" xfId="117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31" xfId="117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36" xfId="117" applyNumberFormat="1" applyFont="1" applyFill="1" applyBorder="1" applyAlignment="1" applyProtection="1">
      <alignment horizontal="right" vertical="center" wrapText="1" indent="1"/>
      <protection/>
    </xf>
    <xf numFmtId="10" fontId="28" fillId="0" borderId="25" xfId="117" applyNumberFormat="1" applyFont="1" applyFill="1" applyBorder="1" applyAlignment="1" applyProtection="1">
      <alignment horizontal="right" vertical="center" wrapText="1" indent="1"/>
      <protection locked="0"/>
    </xf>
    <xf numFmtId="10" fontId="3" fillId="0" borderId="48" xfId="117" applyNumberFormat="1" applyFont="1" applyFill="1" applyBorder="1" applyAlignment="1">
      <alignment vertical="center"/>
    </xf>
    <xf numFmtId="10" fontId="7" fillId="0" borderId="60" xfId="117" applyNumberFormat="1" applyFont="1" applyFill="1" applyBorder="1" applyAlignment="1">
      <alignment vertical="center"/>
    </xf>
    <xf numFmtId="10" fontId="7" fillId="0" borderId="32" xfId="117" applyNumberFormat="1" applyFont="1" applyBorder="1" applyAlignment="1">
      <alignment vertical="center"/>
    </xf>
    <xf numFmtId="10" fontId="7" fillId="0" borderId="32" xfId="117" applyNumberFormat="1" applyFont="1" applyFill="1" applyBorder="1" applyAlignment="1">
      <alignment vertical="center"/>
    </xf>
    <xf numFmtId="10" fontId="7" fillId="0" borderId="61" xfId="117" applyNumberFormat="1" applyFont="1" applyBorder="1" applyAlignment="1">
      <alignment vertical="center"/>
    </xf>
    <xf numFmtId="10" fontId="3" fillId="0" borderId="48" xfId="117" applyNumberFormat="1" applyFont="1" applyBorder="1" applyAlignment="1">
      <alignment vertical="center"/>
    </xf>
    <xf numFmtId="10" fontId="7" fillId="0" borderId="62" xfId="117" applyNumberFormat="1" applyFont="1" applyBorder="1" applyAlignment="1">
      <alignment vertical="center"/>
    </xf>
    <xf numFmtId="10" fontId="7" fillId="0" borderId="61" xfId="117" applyNumberFormat="1" applyFont="1" applyFill="1" applyBorder="1" applyAlignment="1">
      <alignment vertical="center"/>
    </xf>
    <xf numFmtId="10" fontId="39" fillId="0" borderId="48" xfId="117" applyNumberFormat="1" applyFont="1" applyFill="1" applyBorder="1" applyAlignment="1">
      <alignment vertical="center"/>
    </xf>
    <xf numFmtId="10" fontId="4" fillId="0" borderId="62" xfId="117" applyNumberFormat="1" applyFont="1" applyBorder="1" applyAlignment="1">
      <alignment vertical="center"/>
    </xf>
    <xf numFmtId="10" fontId="3" fillId="0" borderId="48" xfId="117" applyNumberFormat="1" applyFont="1" applyFill="1" applyBorder="1" applyAlignment="1">
      <alignment horizontal="right" vertical="center"/>
    </xf>
    <xf numFmtId="10" fontId="7" fillId="0" borderId="23" xfId="117" applyNumberFormat="1" applyFont="1" applyFill="1" applyBorder="1" applyAlignment="1">
      <alignment vertical="center"/>
    </xf>
    <xf numFmtId="10" fontId="2" fillId="0" borderId="48" xfId="117" applyNumberFormat="1" applyFont="1" applyBorder="1" applyAlignment="1">
      <alignment vertical="center"/>
    </xf>
    <xf numFmtId="10" fontId="4" fillId="0" borderId="48" xfId="117" applyNumberFormat="1" applyFont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 wrapText="1"/>
    </xf>
    <xf numFmtId="3" fontId="3" fillId="0" borderId="63" xfId="0" applyNumberFormat="1" applyFont="1" applyFill="1" applyBorder="1" applyAlignment="1">
      <alignment horizontal="right" vertical="center" wrapText="1"/>
    </xf>
    <xf numFmtId="3" fontId="3" fillId="49" borderId="4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3" fontId="3" fillId="49" borderId="63" xfId="0" applyNumberFormat="1" applyFont="1" applyFill="1" applyBorder="1" applyAlignment="1">
      <alignment horizontal="right" vertical="center" wrapText="1"/>
    </xf>
    <xf numFmtId="10" fontId="11" fillId="0" borderId="33" xfId="117" applyNumberFormat="1" applyFont="1" applyBorder="1" applyAlignment="1">
      <alignment vertical="center"/>
    </xf>
    <xf numFmtId="10" fontId="11" fillId="0" borderId="21" xfId="117" applyNumberFormat="1" applyFont="1" applyBorder="1" applyAlignment="1">
      <alignment vertical="center"/>
    </xf>
    <xf numFmtId="10" fontId="11" fillId="0" borderId="35" xfId="117" applyNumberFormat="1" applyFont="1" applyBorder="1" applyAlignment="1">
      <alignment vertical="center"/>
    </xf>
    <xf numFmtId="10" fontId="11" fillId="0" borderId="30" xfId="117" applyNumberFormat="1" applyFont="1" applyBorder="1" applyAlignment="1">
      <alignment vertical="center"/>
    </xf>
    <xf numFmtId="10" fontId="11" fillId="0" borderId="44" xfId="117" applyNumberFormat="1" applyFont="1" applyBorder="1" applyAlignment="1">
      <alignment vertical="center"/>
    </xf>
    <xf numFmtId="10" fontId="13" fillId="0" borderId="33" xfId="117" applyNumberFormat="1" applyFont="1" applyFill="1" applyBorder="1" applyAlignment="1">
      <alignment vertical="center"/>
    </xf>
    <xf numFmtId="10" fontId="11" fillId="0" borderId="27" xfId="117" applyNumberFormat="1" applyFont="1" applyBorder="1" applyAlignment="1">
      <alignment vertical="center"/>
    </xf>
    <xf numFmtId="10" fontId="13" fillId="0" borderId="35" xfId="117" applyNumberFormat="1" applyFont="1" applyBorder="1" applyAlignment="1">
      <alignment vertical="center"/>
    </xf>
    <xf numFmtId="10" fontId="13" fillId="0" borderId="47" xfId="117" applyNumberFormat="1" applyFont="1" applyBorder="1" applyAlignment="1">
      <alignment vertical="center"/>
    </xf>
    <xf numFmtId="10" fontId="17" fillId="0" borderId="47" xfId="117" applyNumberFormat="1" applyFont="1" applyBorder="1" applyAlignment="1">
      <alignment vertical="center"/>
    </xf>
    <xf numFmtId="10" fontId="11" fillId="0" borderId="24" xfId="117" applyNumberFormat="1" applyFont="1" applyFill="1" applyBorder="1" applyAlignment="1">
      <alignment vertical="center"/>
    </xf>
    <xf numFmtId="10" fontId="17" fillId="0" borderId="35" xfId="117" applyNumberFormat="1" applyFont="1" applyBorder="1" applyAlignment="1">
      <alignment vertical="center"/>
    </xf>
    <xf numFmtId="10" fontId="17" fillId="0" borderId="44" xfId="117" applyNumberFormat="1" applyFont="1" applyBorder="1" applyAlignment="1">
      <alignment vertical="center"/>
    </xf>
    <xf numFmtId="10" fontId="38" fillId="0" borderId="44" xfId="117" applyNumberFormat="1" applyFont="1" applyBorder="1" applyAlignment="1">
      <alignment vertical="center"/>
    </xf>
    <xf numFmtId="10" fontId="11" fillId="0" borderId="24" xfId="117" applyNumberFormat="1" applyFont="1" applyBorder="1" applyAlignment="1">
      <alignment vertical="center"/>
    </xf>
    <xf numFmtId="10" fontId="11" fillId="0" borderId="47" xfId="117" applyNumberFormat="1" applyFont="1" applyBorder="1" applyAlignment="1">
      <alignment vertical="center"/>
    </xf>
    <xf numFmtId="10" fontId="38" fillId="0" borderId="47" xfId="117" applyNumberFormat="1" applyFont="1" applyBorder="1" applyAlignment="1">
      <alignment vertical="center"/>
    </xf>
    <xf numFmtId="10" fontId="11" fillId="0" borderId="21" xfId="117" applyNumberFormat="1" applyFont="1" applyFill="1" applyBorder="1" applyAlignment="1">
      <alignment vertical="center"/>
    </xf>
    <xf numFmtId="10" fontId="3" fillId="49" borderId="47" xfId="117" applyNumberFormat="1" applyFont="1" applyFill="1" applyBorder="1" applyAlignment="1">
      <alignment horizontal="right" vertical="center" wrapText="1"/>
    </xf>
    <xf numFmtId="10" fontId="7" fillId="49" borderId="28" xfId="117" applyNumberFormat="1" applyFont="1" applyFill="1" applyBorder="1" applyAlignment="1">
      <alignment horizontal="right" vertical="center" wrapText="1"/>
    </xf>
    <xf numFmtId="10" fontId="7" fillId="0" borderId="31" xfId="117" applyNumberFormat="1" applyFont="1" applyFill="1" applyBorder="1" applyAlignment="1">
      <alignment horizontal="right" vertical="center"/>
    </xf>
    <xf numFmtId="10" fontId="7" fillId="0" borderId="60" xfId="117" applyNumberFormat="1" applyFont="1" applyFill="1" applyBorder="1" applyAlignment="1">
      <alignment horizontal="right" vertical="center"/>
    </xf>
    <xf numFmtId="10" fontId="7" fillId="0" borderId="32" xfId="117" applyNumberFormat="1" applyFont="1" applyFill="1" applyBorder="1" applyAlignment="1">
      <alignment horizontal="right" vertical="center"/>
    </xf>
    <xf numFmtId="10" fontId="7" fillId="0" borderId="23" xfId="117" applyNumberFormat="1" applyFont="1" applyFill="1" applyBorder="1" applyAlignment="1">
      <alignment horizontal="right" vertical="center"/>
    </xf>
    <xf numFmtId="10" fontId="7" fillId="0" borderId="50" xfId="117" applyNumberFormat="1" applyFont="1" applyFill="1" applyBorder="1" applyAlignment="1">
      <alignment horizontal="right" vertical="center"/>
    </xf>
    <xf numFmtId="10" fontId="7" fillId="0" borderId="28" xfId="117" applyNumberFormat="1" applyFont="1" applyFill="1" applyBorder="1" applyAlignment="1">
      <alignment vertical="center"/>
    </xf>
    <xf numFmtId="10" fontId="3" fillId="0" borderId="58" xfId="117" applyNumberFormat="1" applyFont="1" applyBorder="1" applyAlignment="1">
      <alignment vertical="center"/>
    </xf>
    <xf numFmtId="10" fontId="7" fillId="0" borderId="50" xfId="117" applyNumberFormat="1" applyFont="1" applyFill="1" applyBorder="1" applyAlignment="1">
      <alignment vertical="center"/>
    </xf>
    <xf numFmtId="3" fontId="16" fillId="0" borderId="43" xfId="103" applyNumberFormat="1" applyFont="1" applyFill="1" applyBorder="1" applyAlignment="1">
      <alignment horizontal="center" vertical="center"/>
      <protection/>
    </xf>
    <xf numFmtId="3" fontId="16" fillId="0" borderId="69" xfId="103" applyNumberFormat="1" applyFont="1" applyFill="1" applyBorder="1" applyAlignment="1">
      <alignment horizontal="center" vertical="center"/>
      <protection/>
    </xf>
    <xf numFmtId="3" fontId="12" fillId="0" borderId="54" xfId="103" applyNumberFormat="1" applyFont="1" applyFill="1" applyBorder="1" applyAlignment="1">
      <alignment horizontal="right" vertical="center"/>
      <protection/>
    </xf>
    <xf numFmtId="10" fontId="15" fillId="0" borderId="21" xfId="117" applyNumberFormat="1" applyFont="1" applyFill="1" applyBorder="1" applyAlignment="1">
      <alignment horizontal="right" vertical="center"/>
    </xf>
    <xf numFmtId="10" fontId="15" fillId="0" borderId="21" xfId="117" applyNumberFormat="1" applyFont="1" applyFill="1" applyBorder="1" applyAlignment="1">
      <alignment horizontal="right" vertical="center"/>
    </xf>
    <xf numFmtId="10" fontId="15" fillId="0" borderId="93" xfId="117" applyNumberFormat="1" applyFont="1" applyFill="1" applyBorder="1" applyAlignment="1">
      <alignment horizontal="right" vertical="center"/>
    </xf>
    <xf numFmtId="10" fontId="12" fillId="0" borderId="54" xfId="117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vertical="center"/>
    </xf>
    <xf numFmtId="3" fontId="15" fillId="0" borderId="33" xfId="103" applyNumberFormat="1" applyFont="1" applyFill="1" applyBorder="1" applyAlignment="1">
      <alignment vertical="center"/>
      <protection/>
    </xf>
    <xf numFmtId="3" fontId="15" fillId="0" borderId="28" xfId="103" applyNumberFormat="1" applyFont="1" applyFill="1" applyBorder="1" applyAlignment="1">
      <alignment vertical="center"/>
      <protection/>
    </xf>
    <xf numFmtId="10" fontId="15" fillId="0" borderId="60" xfId="103" applyNumberFormat="1" applyFont="1" applyFill="1" applyBorder="1" applyAlignment="1">
      <alignment vertical="center"/>
      <protection/>
    </xf>
    <xf numFmtId="0" fontId="16" fillId="0" borderId="43" xfId="103" applyFont="1" applyFill="1" applyBorder="1" applyAlignment="1">
      <alignment horizontal="center" vertical="center"/>
      <protection/>
    </xf>
    <xf numFmtId="3" fontId="16" fillId="0" borderId="25" xfId="103" applyNumberFormat="1" applyFont="1" applyFill="1" applyBorder="1" applyAlignment="1">
      <alignment horizontal="center" vertical="center" wrapText="1"/>
      <protection/>
    </xf>
    <xf numFmtId="3" fontId="16" fillId="0" borderId="54" xfId="103" applyNumberFormat="1" applyFont="1" applyFill="1" applyBorder="1" applyAlignment="1">
      <alignment horizontal="center" vertical="center"/>
      <protection/>
    </xf>
    <xf numFmtId="3" fontId="15" fillId="0" borderId="37" xfId="0" applyNumberFormat="1" applyFont="1" applyFill="1" applyBorder="1" applyAlignment="1">
      <alignment horizontal="right" vertical="center"/>
    </xf>
    <xf numFmtId="3" fontId="15" fillId="0" borderId="93" xfId="0" applyNumberFormat="1" applyFont="1" applyFill="1" applyBorder="1" applyAlignment="1">
      <alignment horizontal="right" vertical="center"/>
    </xf>
    <xf numFmtId="10" fontId="15" fillId="0" borderId="60" xfId="117" applyNumberFormat="1" applyFont="1" applyFill="1" applyBorder="1" applyAlignment="1">
      <alignment horizontal="right" vertical="center"/>
    </xf>
    <xf numFmtId="10" fontId="15" fillId="0" borderId="32" xfId="117" applyNumberFormat="1" applyFont="1" applyFill="1" applyBorder="1" applyAlignment="1">
      <alignment horizontal="right" vertical="center"/>
    </xf>
    <xf numFmtId="10" fontId="12" fillId="0" borderId="48" xfId="117" applyNumberFormat="1" applyFont="1" applyFill="1" applyBorder="1" applyAlignment="1">
      <alignment horizontal="right" vertical="center"/>
    </xf>
    <xf numFmtId="10" fontId="15" fillId="0" borderId="32" xfId="117" applyNumberFormat="1" applyFont="1" applyFill="1" applyBorder="1" applyAlignment="1">
      <alignment horizontal="right" vertical="center"/>
    </xf>
    <xf numFmtId="3" fontId="15" fillId="0" borderId="31" xfId="103" applyNumberFormat="1" applyFont="1" applyFill="1" applyBorder="1" applyAlignment="1">
      <alignment horizontal="right" vertical="center"/>
      <protection/>
    </xf>
    <xf numFmtId="10" fontId="7" fillId="0" borderId="24" xfId="117" applyNumberFormat="1" applyFont="1" applyFill="1" applyBorder="1" applyAlignment="1">
      <alignment horizontal="right" vertical="center"/>
    </xf>
    <xf numFmtId="10" fontId="7" fillId="0" borderId="33" xfId="117" applyNumberFormat="1" applyFont="1" applyFill="1" applyBorder="1" applyAlignment="1">
      <alignment horizontal="right" vertical="center"/>
    </xf>
    <xf numFmtId="10" fontId="7" fillId="0" borderId="33" xfId="117" applyNumberFormat="1" applyFont="1" applyBorder="1" applyAlignment="1">
      <alignment horizontal="right" vertical="center"/>
    </xf>
    <xf numFmtId="10" fontId="7" fillId="0" borderId="21" xfId="117" applyNumberFormat="1" applyFont="1" applyBorder="1" applyAlignment="1">
      <alignment horizontal="right" vertical="center"/>
    </xf>
    <xf numFmtId="10" fontId="7" fillId="0" borderId="21" xfId="117" applyNumberFormat="1" applyFont="1" applyFill="1" applyBorder="1" applyAlignment="1">
      <alignment horizontal="right" vertical="center"/>
    </xf>
    <xf numFmtId="10" fontId="3" fillId="0" borderId="47" xfId="117" applyNumberFormat="1" applyFont="1" applyBorder="1" applyAlignment="1">
      <alignment vertical="center"/>
    </xf>
    <xf numFmtId="3" fontId="74" fillId="0" borderId="72" xfId="105" applyNumberFormat="1" applyFont="1" applyBorder="1" applyAlignment="1">
      <alignment horizontal="center" vertical="center" wrapText="1"/>
      <protection/>
    </xf>
    <xf numFmtId="3" fontId="76" fillId="0" borderId="73" xfId="105" applyNumberFormat="1" applyFont="1" applyFill="1" applyBorder="1" applyAlignment="1">
      <alignment vertical="top"/>
      <protection/>
    </xf>
    <xf numFmtId="3" fontId="76" fillId="0" borderId="39" xfId="105" applyNumberFormat="1" applyFont="1" applyFill="1" applyBorder="1" applyAlignment="1">
      <alignment vertical="top"/>
      <protection/>
    </xf>
    <xf numFmtId="3" fontId="76" fillId="0" borderId="67" xfId="105" applyNumberFormat="1" applyFont="1" applyFill="1" applyBorder="1" applyAlignment="1">
      <alignment vertical="top"/>
      <protection/>
    </xf>
    <xf numFmtId="3" fontId="76" fillId="0" borderId="39" xfId="105" applyNumberFormat="1" applyFont="1" applyFill="1" applyBorder="1">
      <alignment/>
      <protection/>
    </xf>
    <xf numFmtId="3" fontId="76" fillId="0" borderId="67" xfId="105" applyNumberFormat="1" applyFont="1" applyFill="1" applyBorder="1">
      <alignment/>
      <protection/>
    </xf>
    <xf numFmtId="3" fontId="76" fillId="0" borderId="75" xfId="105" applyNumberFormat="1" applyFont="1" applyFill="1" applyBorder="1">
      <alignment/>
      <protection/>
    </xf>
    <xf numFmtId="3" fontId="90" fillId="0" borderId="0" xfId="103" applyNumberFormat="1" applyFont="1" applyBorder="1" applyAlignment="1">
      <alignment horizontal="right"/>
      <protection/>
    </xf>
    <xf numFmtId="10" fontId="76" fillId="0" borderId="50" xfId="117" applyNumberFormat="1" applyFont="1" applyFill="1" applyBorder="1" applyAlignment="1">
      <alignment vertical="top"/>
    </xf>
    <xf numFmtId="10" fontId="76" fillId="0" borderId="32" xfId="117" applyNumberFormat="1" applyFont="1" applyFill="1" applyBorder="1" applyAlignment="1">
      <alignment vertical="top"/>
    </xf>
    <xf numFmtId="10" fontId="76" fillId="0" borderId="23" xfId="117" applyNumberFormat="1" applyFont="1" applyFill="1" applyBorder="1" applyAlignment="1">
      <alignment vertical="top"/>
    </xf>
    <xf numFmtId="10" fontId="77" fillId="0" borderId="47" xfId="117" applyNumberFormat="1" applyFont="1" applyBorder="1" applyAlignment="1">
      <alignment vertical="center"/>
    </xf>
    <xf numFmtId="3" fontId="32" fillId="0" borderId="28" xfId="103" applyNumberFormat="1" applyFont="1" applyFill="1" applyBorder="1" applyAlignment="1">
      <alignment vertical="center"/>
      <protection/>
    </xf>
    <xf numFmtId="10" fontId="38" fillId="50" borderId="84" xfId="117" applyNumberFormat="1" applyFont="1" applyFill="1" applyBorder="1" applyAlignment="1">
      <alignment horizontal="right" vertical="center" wrapText="1"/>
    </xf>
    <xf numFmtId="10" fontId="18" fillId="0" borderId="22" xfId="117" applyNumberFormat="1" applyFont="1" applyBorder="1" applyAlignment="1">
      <alignment horizontal="right" vertical="center"/>
    </xf>
    <xf numFmtId="3" fontId="1" fillId="0" borderId="28" xfId="101" applyNumberFormat="1" applyFont="1" applyBorder="1" applyAlignment="1">
      <alignment horizontal="right"/>
      <protection/>
    </xf>
    <xf numFmtId="10" fontId="3" fillId="0" borderId="48" xfId="117" applyNumberFormat="1" applyFont="1" applyFill="1" applyBorder="1" applyAlignment="1">
      <alignment horizontal="right" vertical="center" wrapText="1"/>
    </xf>
    <xf numFmtId="10" fontId="7" fillId="0" borderId="50" xfId="117" applyNumberFormat="1" applyFont="1" applyFill="1" applyBorder="1" applyAlignment="1">
      <alignment horizontal="right" vertical="center" wrapText="1"/>
    </xf>
    <xf numFmtId="10" fontId="7" fillId="0" borderId="32" xfId="117" applyNumberFormat="1" applyFont="1" applyFill="1" applyBorder="1" applyAlignment="1" applyProtection="1">
      <alignment horizontal="right" vertical="center" wrapText="1"/>
      <protection locked="0"/>
    </xf>
    <xf numFmtId="10" fontId="7" fillId="0" borderId="60" xfId="117" applyNumberFormat="1" applyFont="1" applyFill="1" applyBorder="1" applyAlignment="1" applyProtection="1">
      <alignment vertical="center"/>
      <protection locked="0"/>
    </xf>
    <xf numFmtId="10" fontId="7" fillId="0" borderId="32" xfId="117" applyNumberFormat="1" applyFont="1" applyFill="1" applyBorder="1" applyAlignment="1">
      <alignment horizontal="right" vertical="center" wrapText="1"/>
    </xf>
    <xf numFmtId="10" fontId="7" fillId="0" borderId="32" xfId="117" applyNumberFormat="1" applyFont="1" applyFill="1" applyBorder="1" applyAlignment="1" applyProtection="1">
      <alignment horizontal="right" vertical="center"/>
      <protection locked="0"/>
    </xf>
    <xf numFmtId="10" fontId="7" fillId="0" borderId="60" xfId="117" applyNumberFormat="1" applyFont="1" applyFill="1" applyBorder="1" applyAlignment="1" applyProtection="1">
      <alignment horizontal="right" vertical="center"/>
      <protection locked="0"/>
    </xf>
    <xf numFmtId="10" fontId="7" fillId="0" borderId="61" xfId="117" applyNumberFormat="1" applyFont="1" applyFill="1" applyBorder="1" applyAlignment="1" applyProtection="1">
      <alignment vertical="center"/>
      <protection locked="0"/>
    </xf>
    <xf numFmtId="10" fontId="7" fillId="0" borderId="32" xfId="117" applyNumberFormat="1" applyFont="1" applyFill="1" applyBorder="1" applyAlignment="1" applyProtection="1">
      <alignment vertical="center"/>
      <protection locked="0"/>
    </xf>
    <xf numFmtId="10" fontId="2" fillId="0" borderId="48" xfId="117" applyNumberFormat="1" applyFont="1" applyFill="1" applyBorder="1" applyAlignment="1">
      <alignment vertical="center"/>
    </xf>
    <xf numFmtId="10" fontId="4" fillId="0" borderId="48" xfId="117" applyNumberFormat="1" applyFont="1" applyFill="1" applyBorder="1" applyAlignment="1">
      <alignment vertical="center"/>
    </xf>
    <xf numFmtId="10" fontId="30" fillId="0" borderId="50" xfId="117" applyNumberFormat="1" applyFont="1" applyFill="1" applyBorder="1" applyAlignment="1" applyProtection="1">
      <alignment vertical="center"/>
      <protection locked="0"/>
    </xf>
    <xf numFmtId="10" fontId="30" fillId="0" borderId="60" xfId="117" applyNumberFormat="1" applyFont="1" applyFill="1" applyBorder="1" applyAlignment="1" applyProtection="1">
      <alignment vertical="center"/>
      <protection locked="0"/>
    </xf>
    <xf numFmtId="10" fontId="30" fillId="0" borderId="32" xfId="117" applyNumberFormat="1" applyFont="1" applyFill="1" applyBorder="1" applyAlignment="1" applyProtection="1">
      <alignment vertical="center"/>
      <protection locked="0"/>
    </xf>
    <xf numFmtId="10" fontId="30" fillId="0" borderId="61" xfId="117" applyNumberFormat="1" applyFont="1" applyFill="1" applyBorder="1" applyAlignment="1" applyProtection="1">
      <alignment vertical="center"/>
      <protection locked="0"/>
    </xf>
    <xf numFmtId="10" fontId="46" fillId="0" borderId="48" xfId="117" applyNumberFormat="1" applyFont="1" applyFill="1" applyBorder="1" applyAlignment="1" applyProtection="1">
      <alignment vertical="center"/>
      <protection/>
    </xf>
    <xf numFmtId="0" fontId="1" fillId="0" borderId="0" xfId="102">
      <alignment/>
      <protection/>
    </xf>
    <xf numFmtId="0" fontId="1" fillId="0" borderId="0" xfId="102" applyAlignment="1">
      <alignment wrapText="1"/>
      <protection/>
    </xf>
    <xf numFmtId="0" fontId="112" fillId="0" borderId="0" xfId="102" applyFont="1" applyAlignment="1">
      <alignment horizontal="right"/>
      <protection/>
    </xf>
    <xf numFmtId="0" fontId="86" fillId="0" borderId="0" xfId="102" applyFont="1" applyAlignment="1">
      <alignment horizontal="center"/>
      <protection/>
    </xf>
    <xf numFmtId="167" fontId="1" fillId="0" borderId="0" xfId="102" applyNumberFormat="1" applyAlignment="1">
      <alignment vertical="center" wrapText="1"/>
      <protection/>
    </xf>
    <xf numFmtId="167" fontId="27" fillId="0" borderId="26" xfId="102" applyNumberFormat="1" applyFont="1" applyBorder="1" applyAlignment="1">
      <alignment horizontal="center"/>
      <protection/>
    </xf>
    <xf numFmtId="167" fontId="27" fillId="0" borderId="26" xfId="102" applyNumberFormat="1" applyFont="1" applyBorder="1" applyAlignment="1">
      <alignment horizontal="center" wrapText="1"/>
      <protection/>
    </xf>
    <xf numFmtId="167" fontId="27" fillId="0" borderId="51" xfId="102" applyNumberFormat="1" applyFont="1" applyBorder="1" applyAlignment="1">
      <alignment horizontal="center" vertical="center" wrapText="1"/>
      <protection/>
    </xf>
    <xf numFmtId="167" fontId="27" fillId="0" borderId="51" xfId="102" applyNumberFormat="1" applyFont="1" applyBorder="1" applyAlignment="1">
      <alignment horizontal="center" vertical="center"/>
      <protection/>
    </xf>
    <xf numFmtId="167" fontId="28" fillId="0" borderId="20" xfId="102" applyNumberFormat="1" applyFont="1" applyBorder="1" applyAlignment="1">
      <alignment horizontal="center" vertical="center" wrapText="1"/>
      <protection/>
    </xf>
    <xf numFmtId="167" fontId="27" fillId="0" borderId="25" xfId="102" applyNumberFormat="1" applyFont="1" applyBorder="1" applyAlignment="1">
      <alignment vertical="center" wrapText="1"/>
      <protection/>
    </xf>
    <xf numFmtId="167" fontId="1" fillId="52" borderId="25" xfId="102" applyNumberFormat="1" applyFill="1" applyBorder="1" applyAlignment="1">
      <alignment vertical="center" wrapText="1"/>
      <protection/>
    </xf>
    <xf numFmtId="167" fontId="1" fillId="0" borderId="48" xfId="102" applyNumberFormat="1" applyBorder="1" applyAlignment="1">
      <alignment vertical="center" wrapText="1"/>
      <protection/>
    </xf>
    <xf numFmtId="167" fontId="28" fillId="0" borderId="29" xfId="102" applyNumberFormat="1" applyFont="1" applyBorder="1" applyAlignment="1">
      <alignment horizontal="center" vertical="center" wrapText="1"/>
      <protection/>
    </xf>
    <xf numFmtId="167" fontId="29" fillId="0" borderId="25" xfId="102" applyNumberFormat="1" applyFont="1" applyBorder="1" applyAlignment="1" applyProtection="1">
      <alignment vertical="center" wrapText="1"/>
      <protection locked="0"/>
    </xf>
    <xf numFmtId="0" fontId="66" fillId="0" borderId="25" xfId="102" applyFont="1" applyBorder="1" applyAlignment="1">
      <alignment horizontal="center" vertical="center" wrapText="1"/>
      <protection/>
    </xf>
    <xf numFmtId="169" fontId="1" fillId="0" borderId="25" xfId="102" applyNumberFormat="1" applyBorder="1" applyAlignment="1" applyProtection="1">
      <alignment vertical="center" wrapText="1"/>
      <protection locked="0"/>
    </xf>
    <xf numFmtId="167" fontId="1" fillId="0" borderId="32" xfId="102" applyNumberFormat="1" applyBorder="1" applyAlignment="1" applyProtection="1">
      <alignment vertical="center" wrapText="1"/>
      <protection locked="0"/>
    </xf>
    <xf numFmtId="3" fontId="6" fillId="0" borderId="48" xfId="102" applyNumberFormat="1" applyFont="1" applyBorder="1" applyAlignment="1">
      <alignment vertical="center" wrapText="1"/>
      <protection/>
    </xf>
    <xf numFmtId="167" fontId="28" fillId="0" borderId="24" xfId="102" applyNumberFormat="1" applyFont="1" applyBorder="1" applyAlignment="1">
      <alignment horizontal="center" vertical="center" wrapText="1"/>
      <protection/>
    </xf>
    <xf numFmtId="167" fontId="29" fillId="0" borderId="31" xfId="102" applyNumberFormat="1" applyFont="1" applyBorder="1" applyAlignment="1" applyProtection="1">
      <alignment vertical="center" wrapText="1"/>
      <protection locked="0"/>
    </xf>
    <xf numFmtId="14" fontId="1" fillId="0" borderId="31" xfId="102" applyNumberFormat="1" applyFont="1" applyBorder="1" applyAlignment="1" applyProtection="1">
      <alignment vertical="center" wrapText="1"/>
      <protection locked="0"/>
    </xf>
    <xf numFmtId="3" fontId="1" fillId="0" borderId="32" xfId="102" applyNumberFormat="1" applyBorder="1" applyAlignment="1" applyProtection="1">
      <alignment vertical="center" wrapText="1"/>
      <protection locked="0"/>
    </xf>
    <xf numFmtId="167" fontId="28" fillId="0" borderId="27" xfId="102" applyNumberFormat="1" applyFont="1" applyBorder="1" applyAlignment="1">
      <alignment horizontal="center" vertical="center" wrapText="1"/>
      <protection/>
    </xf>
    <xf numFmtId="14" fontId="1" fillId="0" borderId="34" xfId="102" applyNumberFormat="1" applyBorder="1" applyAlignment="1" applyProtection="1">
      <alignment vertical="center" wrapText="1"/>
      <protection locked="0"/>
    </xf>
    <xf numFmtId="3" fontId="1" fillId="0" borderId="61" xfId="102" applyNumberFormat="1" applyBorder="1" applyAlignment="1" applyProtection="1">
      <alignment vertical="center" wrapText="1"/>
      <protection locked="0"/>
    </xf>
    <xf numFmtId="167" fontId="28" fillId="0" borderId="45" xfId="102" applyNumberFormat="1" applyFont="1" applyBorder="1" applyAlignment="1">
      <alignment horizontal="center" vertical="center" wrapText="1"/>
      <protection/>
    </xf>
    <xf numFmtId="167" fontId="29" fillId="0" borderId="36" xfId="102" applyNumberFormat="1" applyFont="1" applyBorder="1" applyAlignment="1" applyProtection="1">
      <alignment vertical="center" wrapText="1"/>
      <protection locked="0"/>
    </xf>
    <xf numFmtId="14" fontId="1" fillId="0" borderId="22" xfId="102" applyNumberFormat="1" applyBorder="1" applyAlignment="1" applyProtection="1">
      <alignment vertical="center" wrapText="1"/>
      <protection locked="0"/>
    </xf>
    <xf numFmtId="3" fontId="1" fillId="0" borderId="23" xfId="102" applyNumberFormat="1" applyBorder="1" applyAlignment="1" applyProtection="1">
      <alignment vertical="center" wrapText="1"/>
      <protection locked="0"/>
    </xf>
    <xf numFmtId="167" fontId="46" fillId="0" borderId="25" xfId="102" applyNumberFormat="1" applyFont="1" applyBorder="1" applyAlignment="1">
      <alignment vertical="center" wrapText="1"/>
      <protection/>
    </xf>
    <xf numFmtId="0" fontId="76" fillId="0" borderId="0" xfId="108" applyFill="1" applyProtection="1">
      <alignment/>
      <protection/>
    </xf>
    <xf numFmtId="0" fontId="0" fillId="53" borderId="0" xfId="95" applyFill="1">
      <alignment/>
      <protection/>
    </xf>
    <xf numFmtId="0" fontId="28" fillId="53" borderId="24" xfId="95" applyFont="1" applyFill="1" applyBorder="1" applyAlignment="1">
      <alignment horizontal="center" vertical="center"/>
      <protection/>
    </xf>
    <xf numFmtId="0" fontId="0" fillId="53" borderId="21" xfId="95" applyFont="1" applyFill="1" applyBorder="1" applyAlignment="1">
      <alignment vertical="center"/>
      <protection/>
    </xf>
    <xf numFmtId="0" fontId="28" fillId="53" borderId="30" xfId="95" applyFont="1" applyFill="1" applyBorder="1" applyAlignment="1">
      <alignment vertical="center"/>
      <protection/>
    </xf>
    <xf numFmtId="0" fontId="115" fillId="0" borderId="0" xfId="108" applyFont="1" applyFill="1" applyProtection="1">
      <alignment/>
      <protection/>
    </xf>
    <xf numFmtId="0" fontId="0" fillId="0" borderId="0" xfId="100" applyFill="1">
      <alignment/>
      <protection/>
    </xf>
    <xf numFmtId="0" fontId="0" fillId="0" borderId="0" xfId="100">
      <alignment/>
      <protection/>
    </xf>
    <xf numFmtId="0" fontId="27" fillId="0" borderId="0" xfId="100" applyFont="1" applyFill="1" applyAlignment="1">
      <alignment horizontal="center"/>
      <protection/>
    </xf>
    <xf numFmtId="0" fontId="44" fillId="0" borderId="0" xfId="100" applyFont="1" applyFill="1" applyAlignment="1">
      <alignment horizontal="right"/>
      <protection/>
    </xf>
    <xf numFmtId="0" fontId="28" fillId="0" borderId="47" xfId="100" applyFont="1" applyFill="1" applyBorder="1" applyAlignment="1">
      <alignment horizontal="center" vertical="center" wrapText="1"/>
      <protection/>
    </xf>
    <xf numFmtId="0" fontId="27" fillId="0" borderId="25" xfId="100" applyFont="1" applyFill="1" applyBorder="1" applyAlignment="1">
      <alignment horizontal="center" vertical="center"/>
      <protection/>
    </xf>
    <xf numFmtId="0" fontId="27" fillId="0" borderId="48" xfId="100" applyFont="1" applyFill="1" applyBorder="1" applyAlignment="1">
      <alignment horizontal="center" vertical="center" wrapText="1"/>
      <protection/>
    </xf>
    <xf numFmtId="0" fontId="0" fillId="0" borderId="33" xfId="100" applyFill="1" applyBorder="1" applyAlignment="1">
      <alignment horizontal="center" vertical="center"/>
      <protection/>
    </xf>
    <xf numFmtId="0" fontId="0" fillId="0" borderId="28" xfId="100" applyFont="1" applyFill="1" applyBorder="1" applyAlignment="1" applyProtection="1">
      <alignment horizontal="left" vertical="center" wrapText="1" indent="1"/>
      <protection locked="0"/>
    </xf>
    <xf numFmtId="0" fontId="0" fillId="0" borderId="21" xfId="100" applyFill="1" applyBorder="1" applyAlignment="1">
      <alignment horizontal="center" vertical="center"/>
      <protection/>
    </xf>
    <xf numFmtId="0" fontId="116" fillId="0" borderId="31" xfId="100" applyFont="1" applyFill="1" applyBorder="1" applyAlignment="1">
      <alignment horizontal="left" vertical="center" indent="5"/>
      <protection/>
    </xf>
    <xf numFmtId="180" fontId="52" fillId="0" borderId="32" xfId="100" applyNumberFormat="1" applyFont="1" applyFill="1" applyBorder="1" applyAlignment="1" applyProtection="1">
      <alignment horizontal="right" vertical="center"/>
      <protection locked="0"/>
    </xf>
    <xf numFmtId="0" fontId="0" fillId="0" borderId="35" xfId="100" applyFill="1" applyBorder="1" applyAlignment="1">
      <alignment horizontal="center" vertical="center"/>
      <protection/>
    </xf>
    <xf numFmtId="180" fontId="52" fillId="0" borderId="61" xfId="100" applyNumberFormat="1" applyFont="1" applyFill="1" applyBorder="1" applyAlignment="1" applyProtection="1">
      <alignment horizontal="right" vertical="center"/>
      <protection locked="0"/>
    </xf>
    <xf numFmtId="0" fontId="0" fillId="0" borderId="24" xfId="100" applyFill="1" applyBorder="1" applyAlignment="1">
      <alignment horizontal="center" vertical="center"/>
      <protection/>
    </xf>
    <xf numFmtId="0" fontId="0" fillId="0" borderId="26" xfId="100" applyFont="1" applyFill="1" applyBorder="1" applyAlignment="1" applyProtection="1">
      <alignment horizontal="left" vertical="center" wrapText="1" indent="1"/>
      <protection locked="0"/>
    </xf>
    <xf numFmtId="180" fontId="49" fillId="0" borderId="50" xfId="100" applyNumberFormat="1" applyFont="1" applyFill="1" applyBorder="1" applyAlignment="1" applyProtection="1">
      <alignment horizontal="right" vertical="center"/>
      <protection/>
    </xf>
    <xf numFmtId="0" fontId="0" fillId="0" borderId="35" xfId="100" applyFont="1" applyFill="1" applyBorder="1" applyAlignment="1">
      <alignment horizontal="center" vertical="center"/>
      <protection/>
    </xf>
    <xf numFmtId="0" fontId="0" fillId="0" borderId="30" xfId="100" applyFont="1" applyFill="1" applyBorder="1" applyAlignment="1">
      <alignment horizontal="center" vertical="center"/>
      <protection/>
    </xf>
    <xf numFmtId="0" fontId="116" fillId="0" borderId="22" xfId="100" applyFont="1" applyFill="1" applyBorder="1" applyAlignment="1">
      <alignment horizontal="left" vertical="center" indent="5"/>
      <protection/>
    </xf>
    <xf numFmtId="180" fontId="52" fillId="0" borderId="23" xfId="100" applyNumberFormat="1" applyFont="1" applyFill="1" applyBorder="1" applyAlignment="1" applyProtection="1">
      <alignment horizontal="right" vertical="center"/>
      <protection locked="0"/>
    </xf>
    <xf numFmtId="167" fontId="59" fillId="0" borderId="0" xfId="97" applyNumberFormat="1" applyFill="1" applyAlignment="1" applyProtection="1">
      <alignment vertical="center" wrapText="1"/>
      <protection/>
    </xf>
    <xf numFmtId="167" fontId="59" fillId="0" borderId="0" xfId="97" applyNumberFormat="1" applyFill="1" applyAlignment="1" applyProtection="1">
      <alignment horizontal="center" vertical="center" wrapText="1"/>
      <protection/>
    </xf>
    <xf numFmtId="167" fontId="31" fillId="0" borderId="0" xfId="97" applyNumberFormat="1" applyFont="1" applyFill="1" applyAlignment="1" applyProtection="1">
      <alignment horizontal="right"/>
      <protection/>
    </xf>
    <xf numFmtId="167" fontId="27" fillId="0" borderId="0" xfId="97" applyNumberFormat="1" applyFont="1" applyFill="1" applyAlignment="1" applyProtection="1">
      <alignment vertical="center"/>
      <protection/>
    </xf>
    <xf numFmtId="167" fontId="49" fillId="0" borderId="75" xfId="97" applyNumberFormat="1" applyFont="1" applyFill="1" applyBorder="1" applyAlignment="1" applyProtection="1">
      <alignment horizontal="center" vertical="center"/>
      <protection/>
    </xf>
    <xf numFmtId="167" fontId="49" fillId="0" borderId="23" xfId="97" applyNumberFormat="1" applyFont="1" applyFill="1" applyBorder="1" applyAlignment="1" applyProtection="1">
      <alignment horizontal="center" vertical="center" wrapText="1"/>
      <protection/>
    </xf>
    <xf numFmtId="167" fontId="27" fillId="0" borderId="0" xfId="97" applyNumberFormat="1" applyFont="1" applyFill="1" applyAlignment="1" applyProtection="1">
      <alignment horizontal="center" vertical="center"/>
      <protection/>
    </xf>
    <xf numFmtId="167" fontId="53" fillId="0" borderId="20" xfId="97" applyNumberFormat="1" applyFont="1" applyFill="1" applyBorder="1" applyAlignment="1" applyProtection="1">
      <alignment horizontal="center" vertical="center" wrapText="1"/>
      <protection/>
    </xf>
    <xf numFmtId="167" fontId="53" fillId="0" borderId="77" xfId="97" applyNumberFormat="1" applyFont="1" applyFill="1" applyBorder="1" applyAlignment="1" applyProtection="1">
      <alignment horizontal="center" vertical="center" wrapText="1"/>
      <protection/>
    </xf>
    <xf numFmtId="167" fontId="53" fillId="0" borderId="63" xfId="97" applyNumberFormat="1" applyFont="1" applyFill="1" applyBorder="1" applyAlignment="1" applyProtection="1">
      <alignment horizontal="center" vertical="center" wrapText="1"/>
      <protection/>
    </xf>
    <xf numFmtId="167" fontId="53" fillId="0" borderId="48" xfId="97" applyNumberFormat="1" applyFont="1" applyFill="1" applyBorder="1" applyAlignment="1" applyProtection="1">
      <alignment horizontal="center" vertical="center" wrapText="1"/>
      <protection/>
    </xf>
    <xf numFmtId="167" fontId="53" fillId="0" borderId="79" xfId="97" applyNumberFormat="1" applyFont="1" applyFill="1" applyBorder="1" applyAlignment="1" applyProtection="1">
      <alignment horizontal="center" vertical="center" wrapText="1"/>
      <protection/>
    </xf>
    <xf numFmtId="167" fontId="27" fillId="0" borderId="0" xfId="97" applyNumberFormat="1" applyFont="1" applyFill="1" applyAlignment="1" applyProtection="1">
      <alignment horizontal="center" vertical="center" wrapText="1"/>
      <protection/>
    </xf>
    <xf numFmtId="167" fontId="53" fillId="0" borderId="77" xfId="97" applyNumberFormat="1" applyFont="1" applyFill="1" applyBorder="1" applyAlignment="1" applyProtection="1">
      <alignment horizontal="left" vertical="center" wrapText="1" indent="1"/>
      <protection/>
    </xf>
    <xf numFmtId="49" fontId="117" fillId="0" borderId="25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77" xfId="97" applyNumberFormat="1" applyFont="1" applyFill="1" applyBorder="1" applyAlignment="1" applyProtection="1">
      <alignment vertical="center" wrapText="1"/>
      <protection/>
    </xf>
    <xf numFmtId="167" fontId="117" fillId="0" borderId="47" xfId="97" applyNumberFormat="1" applyFont="1" applyFill="1" applyBorder="1" applyAlignment="1" applyProtection="1">
      <alignment vertical="center" wrapText="1"/>
      <protection/>
    </xf>
    <xf numFmtId="167" fontId="117" fillId="0" borderId="25" xfId="97" applyNumberFormat="1" applyFont="1" applyFill="1" applyBorder="1" applyAlignment="1" applyProtection="1">
      <alignment vertical="center" wrapText="1"/>
      <protection/>
    </xf>
    <xf numFmtId="167" fontId="117" fillId="0" borderId="48" xfId="97" applyNumberFormat="1" applyFont="1" applyFill="1" applyBorder="1" applyAlignment="1" applyProtection="1">
      <alignment vertical="center" wrapText="1"/>
      <protection/>
    </xf>
    <xf numFmtId="167" fontId="45" fillId="0" borderId="77" xfId="97" applyNumberFormat="1" applyFont="1" applyFill="1" applyBorder="1" applyAlignment="1" applyProtection="1">
      <alignment vertical="center" wrapText="1"/>
      <protection/>
    </xf>
    <xf numFmtId="167" fontId="45" fillId="0" borderId="78" xfId="97" applyNumberFormat="1" applyFont="1" applyFill="1" applyBorder="1" applyAlignment="1" applyProtection="1">
      <alignment horizontal="left" vertical="center" wrapText="1" indent="1"/>
      <protection locked="0"/>
    </xf>
    <xf numFmtId="49" fontId="117" fillId="0" borderId="31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78" xfId="97" applyNumberFormat="1" applyFont="1" applyFill="1" applyBorder="1" applyAlignment="1" applyProtection="1">
      <alignment vertical="center" wrapText="1"/>
      <protection locked="0"/>
    </xf>
    <xf numFmtId="167" fontId="117" fillId="0" borderId="21" xfId="97" applyNumberFormat="1" applyFont="1" applyFill="1" applyBorder="1" applyAlignment="1" applyProtection="1">
      <alignment vertical="center" wrapText="1"/>
      <protection locked="0"/>
    </xf>
    <xf numFmtId="167" fontId="117" fillId="0" borderId="31" xfId="97" applyNumberFormat="1" applyFont="1" applyFill="1" applyBorder="1" applyAlignment="1" applyProtection="1">
      <alignment vertical="center" wrapText="1"/>
      <protection locked="0"/>
    </xf>
    <xf numFmtId="167" fontId="117" fillId="0" borderId="32" xfId="97" applyNumberFormat="1" applyFont="1" applyFill="1" applyBorder="1" applyAlignment="1" applyProtection="1">
      <alignment vertical="center" wrapText="1"/>
      <protection locked="0"/>
    </xf>
    <xf numFmtId="167" fontId="45" fillId="0" borderId="78" xfId="97" applyNumberFormat="1" applyFont="1" applyFill="1" applyBorder="1" applyAlignment="1" applyProtection="1">
      <alignment vertical="center" wrapText="1"/>
      <protection/>
    </xf>
    <xf numFmtId="167" fontId="45" fillId="0" borderId="94" xfId="97" applyNumberFormat="1" applyFont="1" applyFill="1" applyBorder="1" applyAlignment="1" applyProtection="1">
      <alignment horizontal="left" vertical="center" wrapText="1" indent="1"/>
      <protection/>
    </xf>
    <xf numFmtId="49" fontId="117" fillId="0" borderId="26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94" xfId="97" applyNumberFormat="1" applyFont="1" applyFill="1" applyBorder="1" applyAlignment="1" applyProtection="1">
      <alignment vertical="center" wrapText="1"/>
      <protection/>
    </xf>
    <xf numFmtId="167" fontId="117" fillId="0" borderId="26" xfId="97" applyNumberFormat="1" applyFont="1" applyFill="1" applyBorder="1" applyAlignment="1" applyProtection="1">
      <alignment vertical="center" wrapText="1"/>
      <protection/>
    </xf>
    <xf numFmtId="167" fontId="117" fillId="0" borderId="50" xfId="97" applyNumberFormat="1" applyFont="1" applyFill="1" applyBorder="1" applyAlignment="1" applyProtection="1">
      <alignment vertical="center" wrapText="1"/>
      <protection/>
    </xf>
    <xf numFmtId="167" fontId="45" fillId="0" borderId="94" xfId="97" applyNumberFormat="1" applyFont="1" applyFill="1" applyBorder="1" applyAlignment="1" applyProtection="1">
      <alignment vertical="center" wrapText="1"/>
      <protection/>
    </xf>
    <xf numFmtId="167" fontId="45" fillId="0" borderId="78" xfId="97" applyNumberFormat="1" applyFont="1" applyFill="1" applyBorder="1" applyAlignment="1" applyProtection="1">
      <alignment horizontal="left" vertical="center" wrapText="1" indent="1"/>
      <protection/>
    </xf>
    <xf numFmtId="167" fontId="117" fillId="0" borderId="78" xfId="97" applyNumberFormat="1" applyFont="1" applyFill="1" applyBorder="1" applyAlignment="1" applyProtection="1">
      <alignment vertical="center" wrapText="1"/>
      <protection/>
    </xf>
    <xf numFmtId="167" fontId="117" fillId="0" borderId="21" xfId="97" applyNumberFormat="1" applyFont="1" applyFill="1" applyBorder="1" applyAlignment="1" applyProtection="1">
      <alignment vertical="center" wrapText="1"/>
      <protection/>
    </xf>
    <xf numFmtId="167" fontId="117" fillId="0" borderId="31" xfId="97" applyNumberFormat="1" applyFont="1" applyFill="1" applyBorder="1" applyAlignment="1" applyProtection="1">
      <alignment vertical="center" wrapText="1"/>
      <protection/>
    </xf>
    <xf numFmtId="167" fontId="117" fillId="0" borderId="32" xfId="97" applyNumberFormat="1" applyFont="1" applyFill="1" applyBorder="1" applyAlignment="1" applyProtection="1">
      <alignment vertical="center" wrapText="1"/>
      <protection/>
    </xf>
    <xf numFmtId="167" fontId="45" fillId="0" borderId="95" xfId="97" applyNumberFormat="1" applyFont="1" applyFill="1" applyBorder="1" applyAlignment="1" applyProtection="1">
      <alignment horizontal="left" vertical="center" wrapText="1" indent="1"/>
      <protection locked="0"/>
    </xf>
    <xf numFmtId="49" fontId="117" fillId="0" borderId="22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95" xfId="97" applyNumberFormat="1" applyFont="1" applyFill="1" applyBorder="1" applyAlignment="1" applyProtection="1">
      <alignment vertical="center" wrapText="1"/>
      <protection locked="0"/>
    </xf>
    <xf numFmtId="167" fontId="117" fillId="0" borderId="30" xfId="97" applyNumberFormat="1" applyFont="1" applyFill="1" applyBorder="1" applyAlignment="1" applyProtection="1">
      <alignment vertical="center" wrapText="1"/>
      <protection locked="0"/>
    </xf>
    <xf numFmtId="167" fontId="117" fillId="0" borderId="22" xfId="97" applyNumberFormat="1" applyFont="1" applyFill="1" applyBorder="1" applyAlignment="1" applyProtection="1">
      <alignment vertical="center" wrapText="1"/>
      <protection locked="0"/>
    </xf>
    <xf numFmtId="167" fontId="117" fillId="0" borderId="23" xfId="97" applyNumberFormat="1" applyFont="1" applyFill="1" applyBorder="1" applyAlignment="1" applyProtection="1">
      <alignment vertical="center" wrapText="1"/>
      <protection locked="0"/>
    </xf>
    <xf numFmtId="167" fontId="45" fillId="0" borderId="96" xfId="97" applyNumberFormat="1" applyFont="1" applyFill="1" applyBorder="1" applyAlignment="1" applyProtection="1">
      <alignment horizontal="left" vertical="center" wrapText="1" indent="1"/>
      <protection locked="0"/>
    </xf>
    <xf numFmtId="167" fontId="45" fillId="0" borderId="79" xfId="97" applyNumberFormat="1" applyFont="1" applyFill="1" applyBorder="1" applyAlignment="1" applyProtection="1">
      <alignment horizontal="left" vertical="center" wrapText="1" indent="1"/>
      <protection/>
    </xf>
    <xf numFmtId="49" fontId="117" fillId="0" borderId="51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96" xfId="97" applyNumberFormat="1" applyFont="1" applyFill="1" applyBorder="1" applyAlignment="1" applyProtection="1">
      <alignment vertical="center" wrapText="1"/>
      <protection locked="0"/>
    </xf>
    <xf numFmtId="167" fontId="117" fillId="0" borderId="44" xfId="97" applyNumberFormat="1" applyFont="1" applyFill="1" applyBorder="1" applyAlignment="1" applyProtection="1">
      <alignment vertical="center" wrapText="1"/>
      <protection locked="0"/>
    </xf>
    <xf numFmtId="167" fontId="117" fillId="0" borderId="51" xfId="97" applyNumberFormat="1" applyFont="1" applyFill="1" applyBorder="1" applyAlignment="1" applyProtection="1">
      <alignment vertical="center" wrapText="1"/>
      <protection locked="0"/>
    </xf>
    <xf numFmtId="167" fontId="117" fillId="0" borderId="52" xfId="97" applyNumberFormat="1" applyFont="1" applyFill="1" applyBorder="1" applyAlignment="1" applyProtection="1">
      <alignment vertical="center" wrapText="1"/>
      <protection locked="0"/>
    </xf>
    <xf numFmtId="167" fontId="53" fillId="0" borderId="77" xfId="97" applyNumberFormat="1" applyFont="1" applyFill="1" applyBorder="1" applyAlignment="1" applyProtection="1">
      <alignment horizontal="left" vertical="center" wrapText="1" indent="1"/>
      <protection/>
    </xf>
    <xf numFmtId="49" fontId="117" fillId="0" borderId="24" xfId="97" applyNumberFormat="1" applyFont="1" applyFill="1" applyBorder="1" applyAlignment="1" applyProtection="1">
      <alignment horizontal="center" vertical="center" wrapText="1"/>
      <protection locked="0"/>
    </xf>
    <xf numFmtId="167" fontId="117" fillId="0" borderId="24" xfId="97" applyNumberFormat="1" applyFont="1" applyFill="1" applyBorder="1" applyAlignment="1" applyProtection="1">
      <alignment vertical="center" wrapText="1"/>
      <protection/>
    </xf>
    <xf numFmtId="49" fontId="117" fillId="0" borderId="45" xfId="97" applyNumberFormat="1" applyFont="1" applyFill="1" applyBorder="1" applyAlignment="1" applyProtection="1">
      <alignment horizontal="center" vertical="center" wrapText="1"/>
      <protection locked="0"/>
    </xf>
    <xf numFmtId="167" fontId="45" fillId="0" borderId="95" xfId="97" applyNumberFormat="1" applyFont="1" applyFill="1" applyBorder="1" applyAlignment="1" applyProtection="1">
      <alignment vertical="center" wrapText="1"/>
      <protection/>
    </xf>
    <xf numFmtId="167" fontId="117" fillId="54" borderId="63" xfId="97" applyNumberFormat="1" applyFont="1" applyFill="1" applyBorder="1" applyAlignment="1" applyProtection="1">
      <alignment horizontal="left" vertical="center" wrapText="1" indent="2"/>
      <protection/>
    </xf>
    <xf numFmtId="0" fontId="76" fillId="0" borderId="22" xfId="0" applyFont="1" applyFill="1" applyBorder="1" applyAlignment="1">
      <alignment vertical="center" wrapText="1"/>
    </xf>
    <xf numFmtId="168" fontId="30" fillId="0" borderId="48" xfId="68" applyNumberFormat="1" applyFont="1" applyFill="1" applyBorder="1" applyAlignment="1" applyProtection="1">
      <alignment vertical="center"/>
      <protection/>
    </xf>
    <xf numFmtId="0" fontId="11" fillId="0" borderId="0" xfId="96" applyFont="1" applyFill="1">
      <alignment/>
      <protection/>
    </xf>
    <xf numFmtId="0" fontId="88" fillId="0" borderId="31" xfId="96" applyFont="1" applyFill="1" applyBorder="1" applyAlignment="1">
      <alignment horizontal="center" vertical="center" wrapText="1"/>
      <protection/>
    </xf>
    <xf numFmtId="0" fontId="19" fillId="0" borderId="31" xfId="96" applyFont="1" applyFill="1" applyBorder="1" applyAlignment="1">
      <alignment horizontal="left" vertical="top" wrapText="1"/>
      <protection/>
    </xf>
    <xf numFmtId="3" fontId="19" fillId="0" borderId="31" xfId="95" applyNumberFormat="1" applyFont="1" applyFill="1" applyBorder="1" applyAlignment="1">
      <alignment horizontal="right" vertical="top" wrapText="1"/>
      <protection/>
    </xf>
    <xf numFmtId="3" fontId="19" fillId="0" borderId="31" xfId="96" applyNumberFormat="1" applyFont="1" applyFill="1" applyBorder="1" applyAlignment="1">
      <alignment horizontal="right" vertical="top" wrapText="1"/>
      <protection/>
    </xf>
    <xf numFmtId="0" fontId="88" fillId="0" borderId="31" xfId="96" applyFont="1" applyFill="1" applyBorder="1" applyAlignment="1">
      <alignment horizontal="left" vertical="top" wrapText="1"/>
      <protection/>
    </xf>
    <xf numFmtId="3" fontId="88" fillId="0" borderId="31" xfId="95" applyNumberFormat="1" applyFont="1" applyFill="1" applyBorder="1" applyAlignment="1">
      <alignment horizontal="right" vertical="top" wrapText="1"/>
      <protection/>
    </xf>
    <xf numFmtId="3" fontId="88" fillId="0" borderId="31" xfId="96" applyNumberFormat="1" applyFont="1" applyFill="1" applyBorder="1" applyAlignment="1">
      <alignment horizontal="right" vertical="top" wrapText="1"/>
      <protection/>
    </xf>
    <xf numFmtId="0" fontId="19" fillId="0" borderId="0" xfId="96" applyFont="1" applyFill="1" applyAlignment="1">
      <alignment horizontal="center" vertical="top" wrapText="1"/>
      <protection/>
    </xf>
    <xf numFmtId="0" fontId="88" fillId="0" borderId="0" xfId="96" applyFont="1" applyFill="1" applyAlignment="1">
      <alignment horizontal="center" vertical="top" wrapText="1"/>
      <protection/>
    </xf>
    <xf numFmtId="0" fontId="19" fillId="0" borderId="31" xfId="96" applyFont="1" applyFill="1" applyBorder="1" applyAlignment="1">
      <alignment horizontal="center" vertical="top" wrapText="1"/>
      <protection/>
    </xf>
    <xf numFmtId="0" fontId="11" fillId="0" borderId="31" xfId="96" applyFont="1" applyFill="1" applyBorder="1">
      <alignment/>
      <protection/>
    </xf>
    <xf numFmtId="0" fontId="19" fillId="0" borderId="31" xfId="0" applyFont="1" applyFill="1" applyBorder="1" applyAlignment="1">
      <alignment horizontal="center" vertical="top" wrapText="1"/>
    </xf>
    <xf numFmtId="3" fontId="19" fillId="0" borderId="31" xfId="0" applyNumberFormat="1" applyFont="1" applyFill="1" applyBorder="1" applyAlignment="1">
      <alignment horizontal="right" vertical="top" wrapText="1"/>
    </xf>
    <xf numFmtId="3" fontId="88" fillId="0" borderId="31" xfId="0" applyNumberFormat="1" applyFont="1" applyFill="1" applyBorder="1" applyAlignment="1">
      <alignment horizontal="right" vertical="top" wrapText="1"/>
    </xf>
    <xf numFmtId="0" fontId="19" fillId="0" borderId="0" xfId="99">
      <alignment/>
      <protection/>
    </xf>
    <xf numFmtId="0" fontId="71" fillId="0" borderId="0" xfId="108" applyFont="1" applyFill="1" applyAlignment="1" applyProtection="1">
      <alignment horizontal="center"/>
      <protection/>
    </xf>
    <xf numFmtId="0" fontId="19" fillId="0" borderId="0" xfId="99" applyFont="1">
      <alignment/>
      <protection/>
    </xf>
    <xf numFmtId="0" fontId="119" fillId="0" borderId="97" xfId="108" applyFont="1" applyFill="1" applyBorder="1" applyAlignment="1" applyProtection="1">
      <alignment horizontal="center" vertical="center" wrapText="1"/>
      <protection/>
    </xf>
    <xf numFmtId="0" fontId="119" fillId="0" borderId="98" xfId="108" applyFont="1" applyFill="1" applyBorder="1" applyAlignment="1" applyProtection="1">
      <alignment horizontal="center" vertical="center" wrapText="1"/>
      <protection/>
    </xf>
    <xf numFmtId="0" fontId="76" fillId="0" borderId="0" xfId="108" applyFill="1" applyAlignment="1" applyProtection="1">
      <alignment horizontal="center" vertical="center"/>
      <protection/>
    </xf>
    <xf numFmtId="0" fontId="118" fillId="0" borderId="99" xfId="108" applyFont="1" applyFill="1" applyBorder="1" applyAlignment="1" applyProtection="1">
      <alignment vertical="center" wrapText="1"/>
      <protection/>
    </xf>
    <xf numFmtId="181" fontId="28" fillId="0" borderId="100" xfId="107" applyNumberFormat="1" applyFont="1" applyFill="1" applyBorder="1" applyAlignment="1" applyProtection="1">
      <alignment horizontal="center" vertical="center"/>
      <protection/>
    </xf>
    <xf numFmtId="182" fontId="118" fillId="0" borderId="100" xfId="108" applyNumberFormat="1" applyFont="1" applyFill="1" applyBorder="1" applyAlignment="1" applyProtection="1">
      <alignment horizontal="right" vertical="center" wrapText="1"/>
      <protection locked="0"/>
    </xf>
    <xf numFmtId="0" fontId="76" fillId="0" borderId="0" xfId="108" applyFill="1" applyAlignment="1" applyProtection="1">
      <alignment vertical="center"/>
      <protection/>
    </xf>
    <xf numFmtId="0" fontId="120" fillId="0" borderId="101" xfId="108" applyFont="1" applyFill="1" applyBorder="1" applyAlignment="1" applyProtection="1">
      <alignment horizontal="left" vertical="center" wrapText="1" indent="1"/>
      <protection/>
    </xf>
    <xf numFmtId="181" fontId="59" fillId="0" borderId="102" xfId="107" applyNumberFormat="1" applyFont="1" applyFill="1" applyBorder="1" applyAlignment="1" applyProtection="1">
      <alignment horizontal="center" vertical="center"/>
      <protection/>
    </xf>
    <xf numFmtId="182" fontId="71" fillId="0" borderId="102" xfId="108" applyNumberFormat="1" applyFont="1" applyFill="1" applyBorder="1" applyAlignment="1" applyProtection="1">
      <alignment horizontal="right" vertical="center" wrapText="1"/>
      <protection locked="0"/>
    </xf>
    <xf numFmtId="0" fontId="118" fillId="0" borderId="101" xfId="108" applyFont="1" applyFill="1" applyBorder="1" applyAlignment="1" applyProtection="1">
      <alignment vertical="center" wrapText="1"/>
      <protection/>
    </xf>
    <xf numFmtId="181" fontId="28" fillId="0" borderId="102" xfId="107" applyNumberFormat="1" applyFont="1" applyFill="1" applyBorder="1" applyAlignment="1" applyProtection="1">
      <alignment horizontal="center" vertical="center"/>
      <protection/>
    </xf>
    <xf numFmtId="182" fontId="118" fillId="0" borderId="102" xfId="108" applyNumberFormat="1" applyFont="1" applyFill="1" applyBorder="1" applyAlignment="1" applyProtection="1">
      <alignment horizontal="right" vertical="center" wrapText="1"/>
      <protection/>
    </xf>
    <xf numFmtId="182" fontId="118" fillId="0" borderId="102" xfId="108" applyNumberFormat="1" applyFont="1" applyFill="1" applyBorder="1" applyAlignment="1" applyProtection="1">
      <alignment horizontal="right" vertical="center" wrapText="1"/>
      <protection/>
    </xf>
    <xf numFmtId="182" fontId="71" fillId="0" borderId="102" xfId="108" applyNumberFormat="1" applyFont="1" applyFill="1" applyBorder="1" applyAlignment="1" applyProtection="1">
      <alignment horizontal="right" vertical="center" wrapText="1"/>
      <protection/>
    </xf>
    <xf numFmtId="182" fontId="118" fillId="0" borderId="102" xfId="108" applyNumberFormat="1" applyFont="1" applyFill="1" applyBorder="1" applyAlignment="1" applyProtection="1">
      <alignment horizontal="right" vertical="center" wrapText="1"/>
      <protection locked="0"/>
    </xf>
    <xf numFmtId="182" fontId="118" fillId="55" borderId="102" xfId="108" applyNumberFormat="1" applyFont="1" applyFill="1" applyBorder="1" applyAlignment="1" applyProtection="1">
      <alignment horizontal="right" vertical="center" wrapText="1"/>
      <protection locked="0"/>
    </xf>
    <xf numFmtId="182" fontId="118" fillId="55" borderId="102" xfId="108" applyNumberFormat="1" applyFont="1" applyFill="1" applyBorder="1" applyAlignment="1" applyProtection="1">
      <alignment horizontal="right" vertical="center" wrapText="1"/>
      <protection/>
    </xf>
    <xf numFmtId="0" fontId="118" fillId="0" borderId="97" xfId="108" applyFont="1" applyFill="1" applyBorder="1" applyAlignment="1" applyProtection="1">
      <alignment vertical="center" wrapText="1"/>
      <protection/>
    </xf>
    <xf numFmtId="182" fontId="118" fillId="0" borderId="98" xfId="108" applyNumberFormat="1" applyFont="1" applyFill="1" applyBorder="1" applyAlignment="1" applyProtection="1">
      <alignment horizontal="right" vertical="center" wrapText="1"/>
      <protection/>
    </xf>
    <xf numFmtId="0" fontId="71" fillId="0" borderId="0" xfId="108" applyFont="1" applyFill="1" applyProtection="1">
      <alignment/>
      <protection/>
    </xf>
    <xf numFmtId="0" fontId="111" fillId="0" borderId="0" xfId="108" applyFont="1" applyFill="1" applyProtection="1">
      <alignment/>
      <protection/>
    </xf>
    <xf numFmtId="0" fontId="76" fillId="0" borderId="0" xfId="108" applyFont="1" applyFill="1" applyAlignment="1" applyProtection="1">
      <alignment horizontal="center"/>
      <protection/>
    </xf>
    <xf numFmtId="0" fontId="26" fillId="0" borderId="0" xfId="99" applyFont="1">
      <alignment/>
      <protection/>
    </xf>
    <xf numFmtId="0" fontId="121" fillId="0" borderId="97" xfId="108" applyFont="1" applyFill="1" applyBorder="1" applyAlignment="1" applyProtection="1">
      <alignment horizontal="center" vertical="center" wrapText="1"/>
      <protection/>
    </xf>
    <xf numFmtId="0" fontId="121" fillId="0" borderId="98" xfId="108" applyFont="1" applyFill="1" applyBorder="1" applyAlignment="1" applyProtection="1">
      <alignment horizontal="center" vertical="center" wrapText="1"/>
      <protection/>
    </xf>
    <xf numFmtId="0" fontId="69" fillId="0" borderId="99" xfId="108" applyFont="1" applyFill="1" applyBorder="1" applyAlignment="1" applyProtection="1">
      <alignment vertical="center" wrapText="1"/>
      <protection/>
    </xf>
    <xf numFmtId="181" fontId="46" fillId="0" borderId="100" xfId="107" applyNumberFormat="1" applyFont="1" applyFill="1" applyBorder="1" applyAlignment="1" applyProtection="1">
      <alignment horizontal="center" vertical="center"/>
      <protection/>
    </xf>
    <xf numFmtId="182" fontId="69" fillId="0" borderId="100" xfId="108" applyNumberFormat="1" applyFont="1" applyFill="1" applyBorder="1" applyAlignment="1" applyProtection="1">
      <alignment horizontal="right" vertical="center" wrapText="1"/>
      <protection locked="0"/>
    </xf>
    <xf numFmtId="0" fontId="122" fillId="0" borderId="101" xfId="108" applyFont="1" applyFill="1" applyBorder="1" applyAlignment="1" applyProtection="1">
      <alignment horizontal="left" vertical="center" wrapText="1" indent="1"/>
      <protection/>
    </xf>
    <xf numFmtId="181" fontId="30" fillId="0" borderId="102" xfId="107" applyNumberFormat="1" applyFont="1" applyFill="1" applyBorder="1" applyAlignment="1" applyProtection="1">
      <alignment horizontal="center" vertical="center"/>
      <protection/>
    </xf>
    <xf numFmtId="182" fontId="76" fillId="0" borderId="102" xfId="108" applyNumberFormat="1" applyFont="1" applyFill="1" applyBorder="1" applyAlignment="1" applyProtection="1">
      <alignment horizontal="right" vertical="center" wrapText="1"/>
      <protection locked="0"/>
    </xf>
    <xf numFmtId="0" fontId="69" fillId="0" borderId="101" xfId="108" applyFont="1" applyFill="1" applyBorder="1" applyAlignment="1" applyProtection="1">
      <alignment vertical="center" wrapText="1"/>
      <protection/>
    </xf>
    <xf numFmtId="181" fontId="46" fillId="0" borderId="102" xfId="107" applyNumberFormat="1" applyFont="1" applyFill="1" applyBorder="1" applyAlignment="1" applyProtection="1">
      <alignment horizontal="center" vertical="center"/>
      <protection/>
    </xf>
    <xf numFmtId="182" fontId="69" fillId="0" borderId="102" xfId="108" applyNumberFormat="1" applyFont="1" applyFill="1" applyBorder="1" applyAlignment="1" applyProtection="1">
      <alignment horizontal="right" vertical="center" wrapText="1"/>
      <protection/>
    </xf>
    <xf numFmtId="182" fontId="69" fillId="0" borderId="102" xfId="108" applyNumberFormat="1" applyFont="1" applyFill="1" applyBorder="1" applyAlignment="1" applyProtection="1">
      <alignment horizontal="right" vertical="center" wrapText="1"/>
      <protection/>
    </xf>
    <xf numFmtId="182" fontId="76" fillId="0" borderId="102" xfId="108" applyNumberFormat="1" applyFont="1" applyFill="1" applyBorder="1" applyAlignment="1" applyProtection="1">
      <alignment horizontal="right" vertical="center" wrapText="1"/>
      <protection/>
    </xf>
    <xf numFmtId="182" fontId="69" fillId="0" borderId="102" xfId="108" applyNumberFormat="1" applyFont="1" applyFill="1" applyBorder="1" applyAlignment="1" applyProtection="1">
      <alignment horizontal="right" vertical="center" wrapText="1"/>
      <protection locked="0"/>
    </xf>
    <xf numFmtId="182" fontId="69" fillId="55" borderId="102" xfId="108" applyNumberFormat="1" applyFont="1" applyFill="1" applyBorder="1" applyAlignment="1" applyProtection="1">
      <alignment horizontal="right" vertical="center" wrapText="1"/>
      <protection locked="0"/>
    </xf>
    <xf numFmtId="182" fontId="69" fillId="55" borderId="102" xfId="108" applyNumberFormat="1" applyFont="1" applyFill="1" applyBorder="1" applyAlignment="1" applyProtection="1">
      <alignment horizontal="right" vertical="center" wrapText="1"/>
      <protection/>
    </xf>
    <xf numFmtId="0" fontId="69" fillId="0" borderId="97" xfId="108" applyFont="1" applyFill="1" applyBorder="1" applyAlignment="1" applyProtection="1">
      <alignment vertical="center" wrapText="1"/>
      <protection/>
    </xf>
    <xf numFmtId="182" fontId="69" fillId="0" borderId="98" xfId="108" applyNumberFormat="1" applyFont="1" applyFill="1" applyBorder="1" applyAlignment="1" applyProtection="1">
      <alignment horizontal="right" vertical="center" wrapText="1"/>
      <protection/>
    </xf>
    <xf numFmtId="0" fontId="76" fillId="0" borderId="0" xfId="108" applyFont="1" applyFill="1" applyProtection="1">
      <alignment/>
      <protection/>
    </xf>
    <xf numFmtId="0" fontId="76" fillId="0" borderId="0" xfId="108" applyFill="1">
      <alignment/>
      <protection/>
    </xf>
    <xf numFmtId="0" fontId="76" fillId="0" borderId="0" xfId="108" applyFont="1" applyFill="1" applyAlignment="1">
      <alignment horizontal="center"/>
      <protection/>
    </xf>
    <xf numFmtId="0" fontId="69" fillId="0" borderId="103" xfId="108" applyFont="1" applyFill="1" applyBorder="1" applyAlignment="1">
      <alignment horizontal="center" vertical="center"/>
      <protection/>
    </xf>
    <xf numFmtId="0" fontId="62" fillId="0" borderId="104" xfId="107" applyFont="1" applyFill="1" applyBorder="1" applyAlignment="1" applyProtection="1">
      <alignment horizontal="center" vertical="center" textRotation="90"/>
      <protection/>
    </xf>
    <xf numFmtId="0" fontId="69" fillId="0" borderId="104" xfId="108" applyFont="1" applyFill="1" applyBorder="1" applyAlignment="1">
      <alignment horizontal="center" vertical="center" wrapText="1"/>
      <protection/>
    </xf>
    <xf numFmtId="0" fontId="69" fillId="0" borderId="105" xfId="108" applyFont="1" applyFill="1" applyBorder="1" applyAlignment="1">
      <alignment horizontal="center" vertical="center" wrapText="1"/>
      <protection/>
    </xf>
    <xf numFmtId="0" fontId="69" fillId="0" borderId="106" xfId="108" applyFont="1" applyFill="1" applyBorder="1" applyAlignment="1">
      <alignment horizontal="center" vertical="center" wrapText="1"/>
      <protection/>
    </xf>
    <xf numFmtId="0" fontId="69" fillId="0" borderId="107" xfId="108" applyFont="1" applyFill="1" applyBorder="1" applyAlignment="1">
      <alignment horizontal="center" vertical="center"/>
      <protection/>
    </xf>
    <xf numFmtId="0" fontId="69" fillId="0" borderId="108" xfId="108" applyFont="1" applyFill="1" applyBorder="1" applyAlignment="1">
      <alignment horizontal="center" vertical="center" wrapText="1"/>
      <protection/>
    </xf>
    <xf numFmtId="0" fontId="69" fillId="0" borderId="109" xfId="108" applyFont="1" applyFill="1" applyBorder="1" applyAlignment="1">
      <alignment horizontal="center" vertical="center" wrapText="1"/>
      <protection/>
    </xf>
    <xf numFmtId="0" fontId="76" fillId="0" borderId="110" xfId="108" applyFont="1" applyFill="1" applyBorder="1">
      <alignment/>
      <protection/>
    </xf>
    <xf numFmtId="0" fontId="76" fillId="0" borderId="101" xfId="108" applyFont="1" applyFill="1" applyBorder="1" applyProtection="1">
      <alignment/>
      <protection locked="0"/>
    </xf>
    <xf numFmtId="0" fontId="76" fillId="0" borderId="111" xfId="108" applyFont="1" applyFill="1" applyBorder="1" applyAlignment="1">
      <alignment horizontal="right" indent="1"/>
      <protection/>
    </xf>
    <xf numFmtId="3" fontId="76" fillId="0" borderId="111" xfId="108" applyNumberFormat="1" applyFont="1" applyFill="1" applyBorder="1" applyProtection="1">
      <alignment/>
      <protection locked="0"/>
    </xf>
    <xf numFmtId="3" fontId="76" fillId="0" borderId="0" xfId="99" applyNumberFormat="1" applyFont="1">
      <alignment/>
      <protection/>
    </xf>
    <xf numFmtId="3" fontId="76" fillId="0" borderId="112" xfId="108" applyNumberFormat="1" applyFont="1" applyFill="1" applyBorder="1">
      <alignment/>
      <protection/>
    </xf>
    <xf numFmtId="0" fontId="76" fillId="0" borderId="102" xfId="108" applyFont="1" applyFill="1" applyBorder="1" applyAlignment="1">
      <alignment horizontal="center" indent="1"/>
      <protection/>
    </xf>
    <xf numFmtId="3" fontId="76" fillId="0" borderId="102" xfId="108" applyNumberFormat="1" applyFont="1" applyFill="1" applyBorder="1" applyProtection="1">
      <alignment/>
      <protection locked="0"/>
    </xf>
    <xf numFmtId="3" fontId="76" fillId="0" borderId="113" xfId="108" applyNumberFormat="1" applyFont="1" applyFill="1" applyBorder="1" applyProtection="1">
      <alignment/>
      <protection locked="0"/>
    </xf>
    <xf numFmtId="3" fontId="76" fillId="0" borderId="114" xfId="108" applyNumberFormat="1" applyFont="1" applyFill="1" applyBorder="1">
      <alignment/>
      <protection/>
    </xf>
    <xf numFmtId="0" fontId="76" fillId="0" borderId="111" xfId="108" applyFont="1" applyFill="1" applyBorder="1" applyAlignment="1">
      <alignment horizontal="center" indent="1"/>
      <protection/>
    </xf>
    <xf numFmtId="0" fontId="76" fillId="0" borderId="115" xfId="108" applyFont="1" applyFill="1" applyBorder="1" applyProtection="1">
      <alignment/>
      <protection locked="0"/>
    </xf>
    <xf numFmtId="0" fontId="76" fillId="0" borderId="116" xfId="108" applyFont="1" applyFill="1" applyBorder="1" applyAlignment="1">
      <alignment horizontal="right" indent="1"/>
      <protection/>
    </xf>
    <xf numFmtId="3" fontId="76" fillId="0" borderId="116" xfId="108" applyNumberFormat="1" applyFont="1" applyFill="1" applyBorder="1" applyProtection="1">
      <alignment/>
      <protection locked="0"/>
    </xf>
    <xf numFmtId="3" fontId="76" fillId="0" borderId="117" xfId="108" applyNumberFormat="1" applyFont="1" applyFill="1" applyBorder="1" applyProtection="1">
      <alignment/>
      <protection locked="0"/>
    </xf>
    <xf numFmtId="3" fontId="76" fillId="0" borderId="118" xfId="108" applyNumberFormat="1" applyFont="1" applyFill="1" applyBorder="1">
      <alignment/>
      <protection/>
    </xf>
    <xf numFmtId="0" fontId="69" fillId="0" borderId="107" xfId="108" applyFont="1" applyFill="1" applyBorder="1" applyProtection="1">
      <alignment/>
      <protection locked="0"/>
    </xf>
    <xf numFmtId="0" fontId="69" fillId="0" borderId="108" xfId="108" applyFont="1" applyFill="1" applyBorder="1" applyAlignment="1">
      <alignment horizontal="right" indent="1"/>
      <protection/>
    </xf>
    <xf numFmtId="3" fontId="69" fillId="0" borderId="108" xfId="108" applyNumberFormat="1" applyFont="1" applyFill="1" applyBorder="1" applyProtection="1">
      <alignment/>
      <protection locked="0"/>
    </xf>
    <xf numFmtId="3" fontId="69" fillId="0" borderId="110" xfId="108" applyNumberFormat="1" applyFont="1" applyFill="1" applyBorder="1">
      <alignment/>
      <protection/>
    </xf>
    <xf numFmtId="0" fontId="76" fillId="0" borderId="119" xfId="108" applyFont="1" applyFill="1" applyBorder="1" applyProtection="1">
      <alignment/>
      <protection locked="0"/>
    </xf>
    <xf numFmtId="3" fontId="76" fillId="0" borderId="120" xfId="108" applyNumberFormat="1" applyFont="1" applyFill="1" applyBorder="1" applyProtection="1">
      <alignment/>
      <protection locked="0"/>
    </xf>
    <xf numFmtId="0" fontId="76" fillId="0" borderId="102" xfId="108" applyFont="1" applyFill="1" applyBorder="1" applyAlignment="1">
      <alignment horizontal="right" indent="1"/>
      <protection/>
    </xf>
    <xf numFmtId="0" fontId="76" fillId="0" borderId="114" xfId="108" applyFont="1" applyFill="1" applyBorder="1">
      <alignment/>
      <protection/>
    </xf>
    <xf numFmtId="0" fontId="76" fillId="0" borderId="118" xfId="108" applyFont="1" applyFill="1" applyBorder="1">
      <alignment/>
      <protection/>
    </xf>
    <xf numFmtId="0" fontId="76" fillId="0" borderId="108" xfId="108" applyFont="1" applyFill="1" applyBorder="1" applyAlignment="1">
      <alignment horizontal="right" indent="1"/>
      <protection/>
    </xf>
    <xf numFmtId="3" fontId="76" fillId="0" borderId="108" xfId="108" applyNumberFormat="1" applyFont="1" applyFill="1" applyBorder="1" applyProtection="1">
      <alignment/>
      <protection locked="0"/>
    </xf>
    <xf numFmtId="183" fontId="46" fillId="0" borderId="109" xfId="107" applyNumberFormat="1" applyFont="1" applyFill="1" applyBorder="1" applyAlignment="1" applyProtection="1">
      <alignment vertical="center"/>
      <protection/>
    </xf>
    <xf numFmtId="0" fontId="76" fillId="0" borderId="112" xfId="108" applyFont="1" applyFill="1" applyBorder="1">
      <alignment/>
      <protection/>
    </xf>
    <xf numFmtId="3" fontId="76" fillId="0" borderId="121" xfId="108" applyNumberFormat="1" applyFont="1" applyFill="1" applyBorder="1">
      <alignment/>
      <protection/>
    </xf>
    <xf numFmtId="184" fontId="46" fillId="0" borderId="109" xfId="107" applyNumberFormat="1" applyFont="1" applyFill="1" applyBorder="1" applyAlignment="1" applyProtection="1">
      <alignment vertical="center"/>
      <protection/>
    </xf>
    <xf numFmtId="183" fontId="46" fillId="0" borderId="110" xfId="107" applyNumberFormat="1" applyFont="1" applyFill="1" applyBorder="1" applyAlignment="1" applyProtection="1">
      <alignment vertical="center"/>
      <protection/>
    </xf>
    <xf numFmtId="0" fontId="123" fillId="0" borderId="0" xfId="108" applyFont="1" applyFill="1">
      <alignment/>
      <protection/>
    </xf>
    <xf numFmtId="0" fontId="76" fillId="0" borderId="0" xfId="108" applyFont="1" applyFill="1">
      <alignment/>
      <protection/>
    </xf>
    <xf numFmtId="3" fontId="46" fillId="0" borderId="109" xfId="107" applyNumberFormat="1" applyFont="1" applyFill="1" applyBorder="1" applyAlignment="1" applyProtection="1">
      <alignment horizontal="right" vertical="center"/>
      <protection/>
    </xf>
    <xf numFmtId="49" fontId="53" fillId="0" borderId="30" xfId="107" applyNumberFormat="1" applyFont="1" applyFill="1" applyBorder="1" applyAlignment="1" applyProtection="1">
      <alignment horizontal="center" vertical="center" wrapText="1"/>
      <protection/>
    </xf>
    <xf numFmtId="49" fontId="53" fillId="0" borderId="22" xfId="107" applyNumberFormat="1" applyFont="1" applyFill="1" applyBorder="1" applyAlignment="1" applyProtection="1">
      <alignment horizontal="center" vertical="center"/>
      <protection/>
    </xf>
    <xf numFmtId="49" fontId="53" fillId="0" borderId="23" xfId="107" applyNumberFormat="1" applyFont="1" applyFill="1" applyBorder="1" applyAlignment="1" applyProtection="1">
      <alignment horizontal="center" vertical="center"/>
      <protection/>
    </xf>
    <xf numFmtId="0" fontId="54" fillId="0" borderId="21" xfId="108" applyFont="1" applyFill="1" applyBorder="1" applyAlignment="1" applyProtection="1">
      <alignment vertical="center" wrapText="1"/>
      <protection/>
    </xf>
    <xf numFmtId="181" fontId="45" fillId="0" borderId="28" xfId="107" applyNumberFormat="1" applyFont="1" applyFill="1" applyBorder="1" applyAlignment="1" applyProtection="1">
      <alignment horizontal="center" vertical="center"/>
      <protection/>
    </xf>
    <xf numFmtId="185" fontId="45" fillId="0" borderId="60" xfId="107" applyNumberFormat="1" applyFont="1" applyFill="1" applyBorder="1" applyAlignment="1" applyProtection="1">
      <alignment vertical="center"/>
      <protection locked="0"/>
    </xf>
    <xf numFmtId="181" fontId="45" fillId="0" borderId="31" xfId="107" applyNumberFormat="1" applyFont="1" applyFill="1" applyBorder="1" applyAlignment="1" applyProtection="1">
      <alignment horizontal="center" vertical="center"/>
      <protection/>
    </xf>
    <xf numFmtId="185" fontId="45" fillId="0" borderId="32" xfId="107" applyNumberFormat="1" applyFont="1" applyFill="1" applyBorder="1" applyAlignment="1" applyProtection="1">
      <alignment vertical="center"/>
      <protection locked="0"/>
    </xf>
    <xf numFmtId="181" fontId="53" fillId="0" borderId="31" xfId="107" applyNumberFormat="1" applyFont="1" applyFill="1" applyBorder="1" applyAlignment="1" applyProtection="1">
      <alignment horizontal="center" vertical="center"/>
      <protection/>
    </xf>
    <xf numFmtId="185" fontId="53" fillId="0" borderId="32" xfId="107" applyNumberFormat="1" applyFont="1" applyFill="1" applyBorder="1" applyAlignment="1" applyProtection="1">
      <alignment vertical="center"/>
      <protection/>
    </xf>
    <xf numFmtId="185" fontId="45" fillId="0" borderId="32" xfId="107" applyNumberFormat="1" applyFont="1" applyFill="1" applyBorder="1" applyAlignment="1" applyProtection="1">
      <alignment vertical="center"/>
      <protection locked="0"/>
    </xf>
    <xf numFmtId="185" fontId="53" fillId="0" borderId="32" xfId="107" applyNumberFormat="1" applyFont="1" applyFill="1" applyBorder="1" applyAlignment="1" applyProtection="1">
      <alignment vertical="center"/>
      <protection locked="0"/>
    </xf>
    <xf numFmtId="0" fontId="53" fillId="0" borderId="30" xfId="107" applyFont="1" applyFill="1" applyBorder="1" applyAlignment="1" applyProtection="1">
      <alignment horizontal="left" vertical="center" wrapText="1"/>
      <protection/>
    </xf>
    <xf numFmtId="181" fontId="53" fillId="0" borderId="22" xfId="107" applyNumberFormat="1" applyFont="1" applyFill="1" applyBorder="1" applyAlignment="1" applyProtection="1">
      <alignment horizontal="center" vertical="center"/>
      <protection/>
    </xf>
    <xf numFmtId="185" fontId="53" fillId="0" borderId="23" xfId="107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90" xfId="0" applyFont="1" applyBorder="1" applyAlignment="1">
      <alignment horizontal="left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6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wrapText="1"/>
    </xf>
    <xf numFmtId="0" fontId="7" fillId="0" borderId="122" xfId="0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90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3" fillId="0" borderId="31" xfId="106" applyFont="1" applyFill="1" applyBorder="1" applyAlignment="1">
      <alignment horizontal="left"/>
      <protection/>
    </xf>
    <xf numFmtId="0" fontId="46" fillId="0" borderId="0" xfId="106" applyFont="1" applyFill="1" applyBorder="1" applyAlignment="1">
      <alignment horizontal="center" wrapText="1"/>
      <protection/>
    </xf>
    <xf numFmtId="0" fontId="27" fillId="0" borderId="63" xfId="106" applyFont="1" applyFill="1" applyBorder="1" applyAlignment="1" applyProtection="1">
      <alignment horizontal="left" vertical="center" wrapText="1"/>
      <protection/>
    </xf>
    <xf numFmtId="0" fontId="27" fillId="0" borderId="43" xfId="106" applyFont="1" applyFill="1" applyBorder="1" applyAlignment="1" applyProtection="1">
      <alignment horizontal="left" vertical="center" wrapText="1"/>
      <protection/>
    </xf>
    <xf numFmtId="0" fontId="27" fillId="0" borderId="54" xfId="106" applyFont="1" applyFill="1" applyBorder="1" applyAlignment="1" applyProtection="1">
      <alignment horizontal="left" vertical="center" wrapText="1"/>
      <protection/>
    </xf>
    <xf numFmtId="167" fontId="60" fillId="0" borderId="0" xfId="106" applyNumberFormat="1" applyFont="1" applyFill="1" applyBorder="1" applyAlignment="1" applyProtection="1">
      <alignment horizontal="left" vertical="center"/>
      <protection/>
    </xf>
    <xf numFmtId="0" fontId="29" fillId="0" borderId="67" xfId="106" applyFont="1" applyFill="1" applyBorder="1" applyAlignment="1" applyProtection="1">
      <alignment horizontal="left" vertical="center" wrapText="1"/>
      <protection/>
    </xf>
    <xf numFmtId="0" fontId="29" fillId="0" borderId="39" xfId="106" applyFont="1" applyFill="1" applyBorder="1" applyAlignment="1" applyProtection="1">
      <alignment horizontal="left" vertical="center" wrapText="1"/>
      <protection/>
    </xf>
    <xf numFmtId="0" fontId="29" fillId="0" borderId="93" xfId="106" applyFont="1" applyFill="1" applyBorder="1" applyAlignment="1" applyProtection="1">
      <alignment horizontal="left" vertical="center" wrapText="1"/>
      <protection/>
    </xf>
    <xf numFmtId="0" fontId="29" fillId="0" borderId="74" xfId="106" applyFont="1" applyFill="1" applyBorder="1" applyAlignment="1" applyProtection="1">
      <alignment horizontal="left" vertical="center" wrapText="1"/>
      <protection/>
    </xf>
    <xf numFmtId="0" fontId="29" fillId="0" borderId="19" xfId="106" applyFont="1" applyFill="1" applyBorder="1" applyAlignment="1" applyProtection="1">
      <alignment horizontal="left" vertical="center" wrapText="1"/>
      <protection/>
    </xf>
    <xf numFmtId="0" fontId="29" fillId="0" borderId="123" xfId="106" applyFont="1" applyFill="1" applyBorder="1" applyAlignment="1" applyProtection="1">
      <alignment horizontal="left" vertical="center" wrapText="1"/>
      <protection/>
    </xf>
    <xf numFmtId="0" fontId="29" fillId="0" borderId="73" xfId="106" applyFont="1" applyFill="1" applyBorder="1" applyAlignment="1" applyProtection="1">
      <alignment horizontal="left" vertical="center" wrapText="1"/>
      <protection/>
    </xf>
    <xf numFmtId="0" fontId="29" fillId="0" borderId="56" xfId="106" applyFont="1" applyFill="1" applyBorder="1" applyAlignment="1" applyProtection="1">
      <alignment horizontal="left" vertical="center" wrapText="1"/>
      <protection/>
    </xf>
    <xf numFmtId="0" fontId="29" fillId="0" borderId="124" xfId="106" applyFont="1" applyFill="1" applyBorder="1" applyAlignment="1" applyProtection="1">
      <alignment horizontal="left" vertical="center" wrapText="1"/>
      <protection/>
    </xf>
    <xf numFmtId="0" fontId="43" fillId="0" borderId="22" xfId="106" applyFont="1" applyFill="1" applyBorder="1" applyAlignment="1">
      <alignment horizontal="left"/>
      <protection/>
    </xf>
    <xf numFmtId="0" fontId="29" fillId="0" borderId="75" xfId="106" applyFont="1" applyFill="1" applyBorder="1" applyAlignment="1" applyProtection="1">
      <alignment horizontal="left" vertical="center" wrapText="1"/>
      <protection/>
    </xf>
    <xf numFmtId="0" fontId="29" fillId="0" borderId="68" xfId="106" applyFont="1" applyFill="1" applyBorder="1" applyAlignment="1" applyProtection="1">
      <alignment horizontal="left" vertical="center" wrapText="1"/>
      <protection/>
    </xf>
    <xf numFmtId="0" fontId="29" fillId="0" borderId="89" xfId="106" applyFont="1" applyFill="1" applyBorder="1" applyAlignment="1" applyProtection="1">
      <alignment horizontal="left" vertical="center" wrapText="1"/>
      <protection/>
    </xf>
    <xf numFmtId="0" fontId="27" fillId="0" borderId="26" xfId="106" applyFont="1" applyFill="1" applyBorder="1" applyAlignment="1">
      <alignment horizontal="left"/>
      <protection/>
    </xf>
    <xf numFmtId="0" fontId="29" fillId="0" borderId="31" xfId="106" applyFont="1" applyFill="1" applyBorder="1" applyAlignment="1">
      <alignment horizontal="left"/>
      <protection/>
    </xf>
    <xf numFmtId="0" fontId="46" fillId="0" borderId="0" xfId="106" applyFont="1" applyFill="1" applyAlignment="1">
      <alignment horizontal="center" wrapText="1"/>
      <protection/>
    </xf>
    <xf numFmtId="0" fontId="60" fillId="0" borderId="0" xfId="106" applyFont="1" applyFill="1" applyBorder="1" applyAlignment="1">
      <alignment horizontal="left"/>
      <protection/>
    </xf>
    <xf numFmtId="0" fontId="46" fillId="0" borderId="0" xfId="106" applyFont="1" applyFill="1" applyAlignment="1">
      <alignment horizontal="center"/>
      <protection/>
    </xf>
    <xf numFmtId="0" fontId="7" fillId="0" borderId="39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49" fontId="7" fillId="0" borderId="64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 wrapText="1"/>
    </xf>
    <xf numFmtId="49" fontId="3" fillId="0" borderId="69" xfId="0" applyNumberFormat="1" applyFont="1" applyBorder="1" applyAlignment="1">
      <alignment horizontal="center" vertical="center"/>
    </xf>
    <xf numFmtId="167" fontId="60" fillId="0" borderId="19" xfId="106" applyNumberFormat="1" applyFont="1" applyFill="1" applyBorder="1" applyAlignment="1" applyProtection="1">
      <alignment horizontal="left" vertical="center"/>
      <protection/>
    </xf>
    <xf numFmtId="0" fontId="21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/>
      <protection/>
    </xf>
    <xf numFmtId="0" fontId="22" fillId="0" borderId="0" xfId="103" applyFont="1" applyBorder="1" applyAlignment="1">
      <alignment horizontal="center" vertical="center"/>
      <protection/>
    </xf>
    <xf numFmtId="0" fontId="91" fillId="0" borderId="0" xfId="103" applyFont="1" applyAlignment="1">
      <alignment horizontal="right" vertical="center"/>
      <protection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wrapText="1"/>
    </xf>
    <xf numFmtId="3" fontId="92" fillId="0" borderId="0" xfId="0" applyNumberFormat="1" applyFont="1" applyFill="1" applyAlignment="1">
      <alignment horizontal="right"/>
    </xf>
    <xf numFmtId="0" fontId="7" fillId="0" borderId="68" xfId="0" applyFont="1" applyFill="1" applyBorder="1" applyAlignment="1">
      <alignment horizontal="left" wrapText="1"/>
    </xf>
    <xf numFmtId="0" fontId="7" fillId="0" borderId="56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3" fontId="93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167" fontId="85" fillId="0" borderId="0" xfId="0" applyNumberFormat="1" applyFont="1" applyFill="1" applyAlignment="1">
      <alignment horizontal="right" vertical="center" wrapText="1"/>
    </xf>
    <xf numFmtId="0" fontId="49" fillId="0" borderId="20" xfId="0" applyFont="1" applyFill="1" applyBorder="1" applyAlignment="1" applyProtection="1">
      <alignment horizontal="center" vertical="center" wrapText="1"/>
      <protection/>
    </xf>
    <xf numFmtId="0" fontId="49" fillId="0" borderId="54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63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47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49" fillId="0" borderId="48" xfId="0" applyFont="1" applyFill="1" applyBorder="1" applyAlignment="1" applyProtection="1">
      <alignment horizontal="center" vertical="center" wrapText="1"/>
      <protection/>
    </xf>
    <xf numFmtId="0" fontId="28" fillId="0" borderId="4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3" fontId="16" fillId="0" borderId="47" xfId="103" applyNumberFormat="1" applyFont="1" applyFill="1" applyBorder="1" applyAlignment="1">
      <alignment horizontal="center" vertical="center"/>
      <protection/>
    </xf>
    <xf numFmtId="3" fontId="16" fillId="0" borderId="25" xfId="103" applyNumberFormat="1" applyFont="1" applyFill="1" applyBorder="1" applyAlignment="1">
      <alignment horizontal="center" vertical="center"/>
      <protection/>
    </xf>
    <xf numFmtId="3" fontId="16" fillId="0" borderId="48" xfId="103" applyNumberFormat="1" applyFont="1" applyFill="1" applyBorder="1" applyAlignment="1">
      <alignment horizontal="center" vertical="center"/>
      <protection/>
    </xf>
    <xf numFmtId="0" fontId="16" fillId="0" borderId="47" xfId="103" applyFont="1" applyFill="1" applyBorder="1" applyAlignment="1">
      <alignment horizontal="center" vertical="center"/>
      <protection/>
    </xf>
    <xf numFmtId="0" fontId="16" fillId="0" borderId="25" xfId="103" applyFont="1" applyFill="1" applyBorder="1" applyAlignment="1">
      <alignment horizontal="center" vertical="center"/>
      <protection/>
    </xf>
    <xf numFmtId="0" fontId="16" fillId="0" borderId="48" xfId="103" applyFont="1" applyFill="1" applyBorder="1" applyAlignment="1">
      <alignment horizontal="center" vertical="center"/>
      <protection/>
    </xf>
    <xf numFmtId="0" fontId="12" fillId="0" borderId="20" xfId="103" applyFont="1" applyFill="1" applyBorder="1" applyAlignment="1">
      <alignment horizontal="center" vertical="center"/>
      <protection/>
    </xf>
    <xf numFmtId="0" fontId="12" fillId="0" borderId="54" xfId="103" applyFont="1" applyFill="1" applyBorder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12" fillId="0" borderId="43" xfId="103" applyFont="1" applyFill="1" applyBorder="1" applyAlignment="1">
      <alignment horizontal="center" vertical="center"/>
      <protection/>
    </xf>
    <xf numFmtId="0" fontId="3" fillId="0" borderId="20" xfId="103" applyFont="1" applyFill="1" applyBorder="1" applyAlignment="1">
      <alignment horizontal="center" vertical="center"/>
      <protection/>
    </xf>
    <xf numFmtId="0" fontId="3" fillId="0" borderId="54" xfId="103" applyFont="1" applyFill="1" applyBorder="1" applyAlignment="1">
      <alignment horizontal="center" vertical="center"/>
      <protection/>
    </xf>
    <xf numFmtId="0" fontId="18" fillId="0" borderId="0" xfId="103" applyFont="1" applyBorder="1" applyAlignment="1">
      <alignment horizontal="center"/>
      <protection/>
    </xf>
    <xf numFmtId="0" fontId="12" fillId="0" borderId="0" xfId="103" applyFont="1" applyBorder="1" applyAlignment="1">
      <alignment horizontal="center"/>
      <protection/>
    </xf>
    <xf numFmtId="0" fontId="17" fillId="0" borderId="0" xfId="103" applyFont="1" applyAlignment="1">
      <alignment horizontal="right"/>
      <protection/>
    </xf>
    <xf numFmtId="0" fontId="17" fillId="0" borderId="19" xfId="103" applyFont="1" applyBorder="1" applyAlignment="1">
      <alignment horizontal="right"/>
      <protection/>
    </xf>
    <xf numFmtId="166" fontId="75" fillId="0" borderId="67" xfId="105" applyNumberFormat="1" applyFont="1" applyBorder="1" applyAlignment="1">
      <alignment horizontal="left" wrapText="1"/>
      <protection/>
    </xf>
    <xf numFmtId="166" fontId="75" fillId="0" borderId="39" xfId="105" applyNumberFormat="1" applyFont="1" applyBorder="1" applyAlignment="1">
      <alignment horizontal="left" wrapText="1"/>
      <protection/>
    </xf>
    <xf numFmtId="3" fontId="90" fillId="0" borderId="0" xfId="103" applyNumberFormat="1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166" fontId="74" fillId="0" borderId="43" xfId="105" applyNumberFormat="1" applyFont="1" applyBorder="1" applyAlignment="1">
      <alignment horizontal="center" vertical="center" wrapText="1"/>
      <protection/>
    </xf>
    <xf numFmtId="3" fontId="74" fillId="0" borderId="47" xfId="105" applyNumberFormat="1" applyFont="1" applyBorder="1" applyAlignment="1">
      <alignment horizontal="center" vertical="center" wrapText="1"/>
      <protection/>
    </xf>
    <xf numFmtId="3" fontId="74" fillId="0" borderId="25" xfId="105" applyNumberFormat="1" applyFont="1" applyBorder="1" applyAlignment="1">
      <alignment horizontal="center" vertical="center" wrapText="1"/>
      <protection/>
    </xf>
    <xf numFmtId="3" fontId="74" fillId="0" borderId="63" xfId="105" applyNumberFormat="1" applyFont="1" applyBorder="1" applyAlignment="1">
      <alignment horizontal="center" vertical="center" wrapText="1"/>
      <protection/>
    </xf>
    <xf numFmtId="3" fontId="74" fillId="0" borderId="48" xfId="105" applyNumberFormat="1" applyFont="1" applyBorder="1" applyAlignment="1">
      <alignment horizontal="center" vertical="center" wrapText="1"/>
      <protection/>
    </xf>
    <xf numFmtId="3" fontId="90" fillId="0" borderId="19" xfId="103" applyNumberFormat="1" applyFont="1" applyBorder="1" applyAlignment="1">
      <alignment horizontal="right"/>
      <protection/>
    </xf>
    <xf numFmtId="0" fontId="75" fillId="0" borderId="39" xfId="105" applyFont="1" applyFill="1" applyBorder="1" applyAlignment="1">
      <alignment horizontal="left"/>
      <protection/>
    </xf>
    <xf numFmtId="0" fontId="77" fillId="0" borderId="43" xfId="105" applyFont="1" applyBorder="1" applyAlignment="1">
      <alignment horizontal="center" vertical="center" wrapText="1"/>
      <protection/>
    </xf>
    <xf numFmtId="0" fontId="75" fillId="0" borderId="67" xfId="105" applyFont="1" applyFill="1" applyBorder="1" applyAlignment="1">
      <alignment horizontal="left" vertical="center" wrapText="1"/>
      <protection/>
    </xf>
    <xf numFmtId="0" fontId="75" fillId="0" borderId="39" xfId="105" applyFont="1" applyFill="1" applyBorder="1" applyAlignment="1">
      <alignment horizontal="left" vertical="center" wrapText="1"/>
      <protection/>
    </xf>
    <xf numFmtId="166" fontId="75" fillId="0" borderId="75" xfId="105" applyNumberFormat="1" applyFont="1" applyBorder="1" applyAlignment="1">
      <alignment horizontal="left" wrapText="1"/>
      <protection/>
    </xf>
    <xf numFmtId="166" fontId="75" fillId="0" borderId="68" xfId="105" applyNumberFormat="1" applyFont="1" applyBorder="1" applyAlignment="1">
      <alignment horizontal="left" wrapText="1"/>
      <protection/>
    </xf>
    <xf numFmtId="0" fontId="75" fillId="0" borderId="56" xfId="105" applyFont="1" applyFill="1" applyBorder="1" applyAlignment="1">
      <alignment horizontal="left"/>
      <protection/>
    </xf>
    <xf numFmtId="3" fontId="90" fillId="0" borderId="0" xfId="103" applyNumberFormat="1" applyFont="1" applyAlignment="1">
      <alignment horizontal="right" vertical="center"/>
      <protection/>
    </xf>
    <xf numFmtId="0" fontId="78" fillId="0" borderId="0" xfId="103" applyFont="1" applyAlignment="1">
      <alignment horizontal="center" vertical="center" wrapText="1"/>
      <protection/>
    </xf>
    <xf numFmtId="0" fontId="78" fillId="0" borderId="0" xfId="103" applyFont="1" applyAlignment="1">
      <alignment horizontal="center" vertical="center"/>
      <protection/>
    </xf>
    <xf numFmtId="0" fontId="12" fillId="0" borderId="0" xfId="103" applyFont="1" applyFill="1" applyAlignment="1">
      <alignment horizontal="center" vertical="center"/>
      <protection/>
    </xf>
    <xf numFmtId="0" fontId="76" fillId="0" borderId="0" xfId="103" applyFont="1" applyAlignment="1">
      <alignment horizontal="center" vertical="center"/>
      <protection/>
    </xf>
    <xf numFmtId="0" fontId="23" fillId="50" borderId="80" xfId="103" applyFont="1" applyFill="1" applyBorder="1" applyAlignment="1">
      <alignment horizontal="center" vertical="center" wrapText="1"/>
      <protection/>
    </xf>
    <xf numFmtId="0" fontId="23" fillId="50" borderId="29" xfId="103" applyFont="1" applyFill="1" applyBorder="1" applyAlignment="1">
      <alignment horizontal="center" vertical="center" wrapText="1"/>
      <protection/>
    </xf>
    <xf numFmtId="0" fontId="23" fillId="50" borderId="86" xfId="103" applyFont="1" applyFill="1" applyBorder="1" applyAlignment="1">
      <alignment horizontal="center" vertical="center" wrapText="1"/>
      <protection/>
    </xf>
    <xf numFmtId="0" fontId="23" fillId="50" borderId="46" xfId="103" applyFont="1" applyFill="1" applyBorder="1" applyAlignment="1">
      <alignment horizontal="center" vertical="center" wrapText="1"/>
      <protection/>
    </xf>
    <xf numFmtId="0" fontId="23" fillId="50" borderId="36" xfId="103" applyFont="1" applyFill="1" applyBorder="1" applyAlignment="1">
      <alignment horizontal="center" vertical="center" wrapText="1"/>
      <protection/>
    </xf>
    <xf numFmtId="0" fontId="23" fillId="50" borderId="125" xfId="103" applyFont="1" applyFill="1" applyBorder="1" applyAlignment="1">
      <alignment horizontal="center" vertical="center" wrapText="1"/>
      <protection/>
    </xf>
    <xf numFmtId="3" fontId="23" fillId="50" borderId="72" xfId="103" applyNumberFormat="1" applyFont="1" applyFill="1" applyBorder="1" applyAlignment="1">
      <alignment horizontal="center" vertical="center" wrapText="1"/>
      <protection/>
    </xf>
    <xf numFmtId="3" fontId="23" fillId="50" borderId="69" xfId="103" applyNumberFormat="1" applyFont="1" applyFill="1" applyBorder="1" applyAlignment="1">
      <alignment horizontal="center" vertical="center" wrapText="1"/>
      <protection/>
    </xf>
    <xf numFmtId="3" fontId="23" fillId="50" borderId="59" xfId="103" applyNumberFormat="1" applyFont="1" applyFill="1" applyBorder="1" applyAlignment="1">
      <alignment horizontal="center" vertical="center" wrapText="1"/>
      <protection/>
    </xf>
    <xf numFmtId="3" fontId="23" fillId="50" borderId="91" xfId="103" applyNumberFormat="1" applyFont="1" applyFill="1" applyBorder="1" applyAlignment="1">
      <alignment horizontal="center" vertical="center" wrapText="1"/>
      <protection/>
    </xf>
    <xf numFmtId="3" fontId="23" fillId="50" borderId="0" xfId="103" applyNumberFormat="1" applyFont="1" applyFill="1" applyBorder="1" applyAlignment="1">
      <alignment horizontal="center" vertical="center" wrapText="1"/>
      <protection/>
    </xf>
    <xf numFmtId="3" fontId="23" fillId="50" borderId="88" xfId="103" applyNumberFormat="1" applyFont="1" applyFill="1" applyBorder="1" applyAlignment="1">
      <alignment horizontal="center" vertical="center" wrapText="1"/>
      <protection/>
    </xf>
    <xf numFmtId="3" fontId="23" fillId="50" borderId="126" xfId="103" applyNumberFormat="1" applyFont="1" applyFill="1" applyBorder="1" applyAlignment="1">
      <alignment horizontal="center" vertical="center" wrapText="1"/>
      <protection/>
    </xf>
    <xf numFmtId="3" fontId="23" fillId="50" borderId="127" xfId="103" applyNumberFormat="1" applyFont="1" applyFill="1" applyBorder="1" applyAlignment="1">
      <alignment horizontal="center" vertical="center" wrapText="1"/>
      <protection/>
    </xf>
    <xf numFmtId="3" fontId="23" fillId="50" borderId="128" xfId="103" applyNumberFormat="1" applyFont="1" applyFill="1" applyBorder="1" applyAlignment="1">
      <alignment horizontal="center" vertical="center" wrapText="1"/>
      <protection/>
    </xf>
    <xf numFmtId="3" fontId="23" fillId="50" borderId="76" xfId="103" applyNumberFormat="1" applyFont="1" applyFill="1" applyBorder="1" applyAlignment="1">
      <alignment horizontal="center" vertical="center" wrapText="1"/>
      <protection/>
    </xf>
    <xf numFmtId="3" fontId="23" fillId="50" borderId="87" xfId="103" applyNumberFormat="1" applyFont="1" applyFill="1" applyBorder="1" applyAlignment="1">
      <alignment horizontal="center" vertical="center" wrapText="1"/>
      <protection/>
    </xf>
    <xf numFmtId="3" fontId="23" fillId="50" borderId="129" xfId="103" applyNumberFormat="1" applyFont="1" applyFill="1" applyBorder="1" applyAlignment="1">
      <alignment horizontal="center" vertical="center" wrapText="1"/>
      <protection/>
    </xf>
    <xf numFmtId="0" fontId="78" fillId="0" borderId="19" xfId="103" applyFont="1" applyBorder="1" applyAlignment="1">
      <alignment horizontal="center" vertical="center" wrapText="1"/>
      <protection/>
    </xf>
    <xf numFmtId="0" fontId="21" fillId="0" borderId="0" xfId="103" applyFont="1" applyAlignment="1">
      <alignment horizontal="center"/>
      <protection/>
    </xf>
    <xf numFmtId="0" fontId="12" fillId="0" borderId="0" xfId="103" applyFont="1" applyAlignment="1">
      <alignment horizontal="center"/>
      <protection/>
    </xf>
    <xf numFmtId="0" fontId="14" fillId="0" borderId="0" xfId="103" applyFont="1" applyAlignment="1">
      <alignment horizontal="center"/>
      <protection/>
    </xf>
    <xf numFmtId="0" fontId="12" fillId="1" borderId="53" xfId="103" applyFont="1" applyFill="1" applyBorder="1" applyAlignment="1">
      <alignment horizontal="center" vertical="center" wrapText="1"/>
      <protection/>
    </xf>
    <xf numFmtId="0" fontId="12" fillId="1" borderId="33" xfId="103" applyFont="1" applyFill="1" applyBorder="1" applyAlignment="1">
      <alignment horizontal="center" vertical="center" wrapText="1"/>
      <protection/>
    </xf>
    <xf numFmtId="0" fontId="12" fillId="1" borderId="73" xfId="103" applyFont="1" applyFill="1" applyBorder="1" applyAlignment="1">
      <alignment horizontal="center" vertical="center"/>
      <protection/>
    </xf>
    <xf numFmtId="0" fontId="12" fillId="1" borderId="56" xfId="103" applyFont="1" applyFill="1" applyBorder="1" applyAlignment="1">
      <alignment horizontal="center" vertical="center"/>
      <protection/>
    </xf>
    <xf numFmtId="0" fontId="12" fillId="1" borderId="24" xfId="103" applyFont="1" applyFill="1" applyBorder="1" applyAlignment="1">
      <alignment horizontal="center" vertical="center"/>
      <protection/>
    </xf>
    <xf numFmtId="0" fontId="12" fillId="1" borderId="26" xfId="103" applyFont="1" applyFill="1" applyBorder="1" applyAlignment="1">
      <alignment horizontal="center" vertical="center"/>
      <protection/>
    </xf>
    <xf numFmtId="0" fontId="12" fillId="1" borderId="50" xfId="103" applyFont="1" applyFill="1" applyBorder="1" applyAlignment="1">
      <alignment horizontal="center" vertical="center"/>
      <protection/>
    </xf>
    <xf numFmtId="0" fontId="12" fillId="1" borderId="67" xfId="103" applyFont="1" applyFill="1" applyBorder="1" applyAlignment="1">
      <alignment horizontal="center" vertical="center"/>
      <protection/>
    </xf>
    <xf numFmtId="0" fontId="12" fillId="1" borderId="39" xfId="103" applyFont="1" applyFill="1" applyBorder="1" applyAlignment="1">
      <alignment horizontal="center" vertical="center"/>
      <protection/>
    </xf>
    <xf numFmtId="0" fontId="12" fillId="1" borderId="93" xfId="103" applyFont="1" applyFill="1" applyBorder="1" applyAlignment="1">
      <alignment horizontal="center" vertical="center"/>
      <protection/>
    </xf>
    <xf numFmtId="0" fontId="12" fillId="1" borderId="21" xfId="103" applyFont="1" applyFill="1" applyBorder="1" applyAlignment="1">
      <alignment horizontal="center" vertical="center"/>
      <protection/>
    </xf>
    <xf numFmtId="0" fontId="12" fillId="1" borderId="31" xfId="103" applyFont="1" applyFill="1" applyBorder="1" applyAlignment="1">
      <alignment horizontal="center" vertical="center"/>
      <protection/>
    </xf>
    <xf numFmtId="0" fontId="14" fillId="0" borderId="0" xfId="103" applyFont="1" applyAlignment="1">
      <alignment horizontal="center" wrapText="1"/>
      <protection/>
    </xf>
    <xf numFmtId="0" fontId="12" fillId="1" borderId="32" xfId="103" applyFont="1" applyFill="1" applyBorder="1" applyAlignment="1">
      <alignment horizontal="center" vertical="center"/>
      <protection/>
    </xf>
    <xf numFmtId="0" fontId="94" fillId="0" borderId="0" xfId="103" applyFont="1" applyAlignment="1">
      <alignment horizontal="right"/>
      <protection/>
    </xf>
    <xf numFmtId="0" fontId="24" fillId="0" borderId="73" xfId="104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0" fontId="0" fillId="0" borderId="122" xfId="0" applyBorder="1" applyAlignment="1">
      <alignment/>
    </xf>
    <xf numFmtId="1" fontId="35" fillId="0" borderId="20" xfId="104" applyNumberFormat="1" applyFont="1" applyBorder="1" applyAlignment="1">
      <alignment horizontal="center" vertical="center" wrapText="1"/>
      <protection/>
    </xf>
    <xf numFmtId="1" fontId="35" fillId="0" borderId="43" xfId="104" applyNumberFormat="1" applyFont="1" applyBorder="1" applyAlignment="1">
      <alignment horizontal="center" vertical="center" wrapText="1"/>
      <protection/>
    </xf>
    <xf numFmtId="1" fontId="35" fillId="0" borderId="55" xfId="104" applyNumberFormat="1" applyFont="1" applyBorder="1" applyAlignment="1">
      <alignment horizontal="center" vertical="center" wrapText="1"/>
      <protection/>
    </xf>
    <xf numFmtId="0" fontId="64" fillId="0" borderId="0" xfId="104" applyFont="1" applyAlignment="1">
      <alignment horizontal="right" vertical="center"/>
      <protection/>
    </xf>
    <xf numFmtId="0" fontId="34" fillId="0" borderId="0" xfId="104" applyFont="1" applyAlignment="1">
      <alignment horizontal="center" vertical="center"/>
      <protection/>
    </xf>
    <xf numFmtId="16" fontId="34" fillId="0" borderId="0" xfId="104" applyNumberFormat="1" applyFont="1" applyBorder="1" applyAlignment="1">
      <alignment horizontal="center" vertical="center" wrapText="1"/>
      <protection/>
    </xf>
    <xf numFmtId="0" fontId="24" fillId="0" borderId="80" xfId="104" applyFont="1" applyFill="1" applyBorder="1" applyAlignment="1">
      <alignment horizontal="center" vertical="center" wrapText="1"/>
      <protection/>
    </xf>
    <xf numFmtId="0" fontId="24" fillId="0" borderId="20" xfId="104" applyFont="1" applyBorder="1" applyAlignment="1">
      <alignment horizontal="left" vertical="center"/>
      <protection/>
    </xf>
    <xf numFmtId="0" fontId="24" fillId="0" borderId="43" xfId="104" applyFont="1" applyBorder="1" applyAlignment="1">
      <alignment horizontal="left" vertical="center"/>
      <protection/>
    </xf>
    <xf numFmtId="0" fontId="24" fillId="0" borderId="54" xfId="104" applyFont="1" applyBorder="1" applyAlignment="1">
      <alignment horizontal="left" vertical="center"/>
      <protection/>
    </xf>
    <xf numFmtId="0" fontId="24" fillId="0" borderId="53" xfId="104" applyFont="1" applyBorder="1" applyAlignment="1">
      <alignment horizontal="center" vertical="center" wrapText="1"/>
      <protection/>
    </xf>
    <xf numFmtId="0" fontId="24" fillId="0" borderId="44" xfId="104" applyFont="1" applyBorder="1" applyAlignment="1">
      <alignment horizontal="center" vertical="center" wrapText="1"/>
      <protection/>
    </xf>
    <xf numFmtId="0" fontId="90" fillId="0" borderId="0" xfId="96" applyFont="1" applyFill="1" applyAlignment="1">
      <alignment horizontal="right"/>
      <protection/>
    </xf>
    <xf numFmtId="0" fontId="13" fillId="0" borderId="0" xfId="96" applyFont="1" applyFill="1" applyAlignment="1">
      <alignment horizontal="center"/>
      <protection/>
    </xf>
    <xf numFmtId="0" fontId="90" fillId="0" borderId="40" xfId="96" applyFont="1" applyFill="1" applyBorder="1" applyAlignment="1">
      <alignment horizontal="right"/>
      <protection/>
    </xf>
    <xf numFmtId="0" fontId="13" fillId="0" borderId="31" xfId="96" applyFont="1" applyFill="1" applyBorder="1" applyAlignment="1">
      <alignment horizontal="center" wrapText="1"/>
      <protection/>
    </xf>
    <xf numFmtId="0" fontId="46" fillId="0" borderId="24" xfId="107" applyFont="1" applyFill="1" applyBorder="1" applyAlignment="1" applyProtection="1">
      <alignment horizontal="center" vertical="center" wrapText="1"/>
      <protection/>
    </xf>
    <xf numFmtId="0" fontId="46" fillId="0" borderId="21" xfId="107" applyFont="1" applyFill="1" applyBorder="1" applyAlignment="1" applyProtection="1">
      <alignment horizontal="center" vertical="center" wrapText="1"/>
      <protection/>
    </xf>
    <xf numFmtId="0" fontId="60" fillId="0" borderId="26" xfId="107" applyFont="1" applyFill="1" applyBorder="1" applyAlignment="1" applyProtection="1">
      <alignment horizontal="center" vertical="center" textRotation="90"/>
      <protection/>
    </xf>
    <xf numFmtId="0" fontId="60" fillId="0" borderId="31" xfId="107" applyFont="1" applyFill="1" applyBorder="1" applyAlignment="1" applyProtection="1">
      <alignment horizontal="center" vertical="center" textRotation="90"/>
      <protection/>
    </xf>
    <xf numFmtId="0" fontId="31" fillId="0" borderId="50" xfId="107" applyFont="1" applyFill="1" applyBorder="1" applyAlignment="1" applyProtection="1">
      <alignment horizontal="center" vertical="center" wrapText="1"/>
      <protection/>
    </xf>
    <xf numFmtId="0" fontId="31" fillId="0" borderId="32" xfId="107" applyFont="1" applyFill="1" applyBorder="1" applyAlignment="1" applyProtection="1">
      <alignment horizontal="center" vertical="center"/>
      <protection/>
    </xf>
    <xf numFmtId="0" fontId="118" fillId="0" borderId="0" xfId="108" applyFont="1" applyFill="1" applyBorder="1" applyAlignment="1" applyProtection="1">
      <alignment horizontal="center" vertical="center" wrapText="1"/>
      <protection/>
    </xf>
    <xf numFmtId="0" fontId="119" fillId="0" borderId="0" xfId="108" applyFont="1" applyFill="1" applyBorder="1" applyAlignment="1" applyProtection="1">
      <alignment horizontal="right"/>
      <protection/>
    </xf>
    <xf numFmtId="0" fontId="118" fillId="0" borderId="99" xfId="108" applyFont="1" applyFill="1" applyBorder="1" applyAlignment="1" applyProtection="1">
      <alignment horizontal="center" vertical="center" wrapText="1"/>
      <protection/>
    </xf>
    <xf numFmtId="0" fontId="31" fillId="0" borderId="100" xfId="107" applyFont="1" applyFill="1" applyBorder="1" applyAlignment="1" applyProtection="1">
      <alignment horizontal="center" vertical="center" textRotation="90"/>
      <protection/>
    </xf>
    <xf numFmtId="0" fontId="119" fillId="0" borderId="100" xfId="108" applyFont="1" applyFill="1" applyBorder="1" applyAlignment="1" applyProtection="1">
      <alignment horizontal="center" vertical="center" wrapText="1"/>
      <protection/>
    </xf>
    <xf numFmtId="0" fontId="119" fillId="0" borderId="114" xfId="108" applyFont="1" applyFill="1" applyBorder="1" applyAlignment="1" applyProtection="1">
      <alignment horizontal="center" wrapText="1"/>
      <protection/>
    </xf>
    <xf numFmtId="0" fontId="69" fillId="0" borderId="0" xfId="108" applyFont="1" applyFill="1" applyBorder="1" applyAlignment="1" applyProtection="1">
      <alignment horizontal="center" vertical="center" wrapText="1"/>
      <protection/>
    </xf>
    <xf numFmtId="0" fontId="121" fillId="0" borderId="0" xfId="108" applyFont="1" applyFill="1" applyBorder="1" applyAlignment="1" applyProtection="1">
      <alignment horizontal="right"/>
      <protection/>
    </xf>
    <xf numFmtId="0" fontId="69" fillId="0" borderId="99" xfId="108" applyFont="1" applyFill="1" applyBorder="1" applyAlignment="1" applyProtection="1">
      <alignment horizontal="center" vertical="center" wrapText="1"/>
      <protection/>
    </xf>
    <xf numFmtId="0" fontId="62" fillId="0" borderId="100" xfId="107" applyFont="1" applyFill="1" applyBorder="1" applyAlignment="1" applyProtection="1">
      <alignment horizontal="center" vertical="center" textRotation="90"/>
      <protection/>
    </xf>
    <xf numFmtId="0" fontId="121" fillId="0" borderId="100" xfId="108" applyFont="1" applyFill="1" applyBorder="1" applyAlignment="1" applyProtection="1">
      <alignment horizontal="center" vertical="center" wrapText="1"/>
      <protection/>
    </xf>
    <xf numFmtId="0" fontId="121" fillId="0" borderId="114" xfId="108" applyFont="1" applyFill="1" applyBorder="1" applyAlignment="1" applyProtection="1">
      <alignment horizontal="center" wrapText="1"/>
      <protection/>
    </xf>
    <xf numFmtId="0" fontId="69" fillId="0" borderId="0" xfId="108" applyFont="1" applyFill="1" applyBorder="1" applyAlignment="1">
      <alignment horizontal="center" vertical="center" wrapText="1"/>
      <protection/>
    </xf>
    <xf numFmtId="0" fontId="62" fillId="0" borderId="0" xfId="107" applyFont="1" applyFill="1" applyBorder="1" applyAlignment="1" applyProtection="1">
      <alignment horizontal="right" vertical="center"/>
      <protection/>
    </xf>
    <xf numFmtId="0" fontId="69" fillId="0" borderId="107" xfId="108" applyFont="1" applyFill="1" applyBorder="1" applyAlignment="1">
      <alignment horizontal="left"/>
      <protection/>
    </xf>
    <xf numFmtId="0" fontId="42" fillId="0" borderId="0" xfId="106" applyFont="1" applyFill="1" applyAlignment="1">
      <alignment horizontal="right"/>
      <protection/>
    </xf>
    <xf numFmtId="167" fontId="83" fillId="0" borderId="0" xfId="106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Font="1" applyFill="1" applyBorder="1" applyAlignment="1" applyProtection="1">
      <alignment horizontal="right"/>
      <protection/>
    </xf>
    <xf numFmtId="0" fontId="46" fillId="0" borderId="24" xfId="106" applyFont="1" applyFill="1" applyBorder="1" applyAlignment="1">
      <alignment horizontal="center" vertical="center" wrapText="1"/>
      <protection/>
    </xf>
    <xf numFmtId="0" fontId="46" fillId="0" borderId="35" xfId="106" applyFont="1" applyFill="1" applyBorder="1" applyAlignment="1">
      <alignment horizontal="center" vertical="center" wrapText="1"/>
      <protection/>
    </xf>
    <xf numFmtId="0" fontId="46" fillId="0" borderId="26" xfId="106" applyFont="1" applyFill="1" applyBorder="1" applyAlignment="1">
      <alignment horizontal="center" vertical="center" wrapText="1"/>
      <protection/>
    </xf>
    <xf numFmtId="0" fontId="46" fillId="0" borderId="34" xfId="106" applyFont="1" applyFill="1" applyBorder="1" applyAlignment="1">
      <alignment horizontal="center" vertical="center" wrapText="1"/>
      <protection/>
    </xf>
    <xf numFmtId="0" fontId="46" fillId="0" borderId="73" xfId="106" applyFont="1" applyFill="1" applyBorder="1" applyAlignment="1">
      <alignment horizontal="center" vertical="center" wrapText="1"/>
      <protection/>
    </xf>
    <xf numFmtId="0" fontId="46" fillId="0" borderId="56" xfId="106" applyFont="1" applyFill="1" applyBorder="1" applyAlignment="1">
      <alignment horizontal="center" vertical="center" wrapText="1"/>
      <protection/>
    </xf>
    <xf numFmtId="0" fontId="46" fillId="0" borderId="122" xfId="106" applyFont="1" applyFill="1" applyBorder="1" applyAlignment="1">
      <alignment horizontal="center" vertical="center" wrapText="1"/>
      <protection/>
    </xf>
    <xf numFmtId="0" fontId="43" fillId="0" borderId="0" xfId="106" applyFont="1" applyFill="1" applyAlignment="1">
      <alignment horizontal="right" vertical="center"/>
      <protection/>
    </xf>
    <xf numFmtId="0" fontId="44" fillId="0" borderId="19" xfId="0" applyFont="1" applyFill="1" applyBorder="1" applyAlignment="1" applyProtection="1">
      <alignment horizontal="right" vertical="center"/>
      <protection/>
    </xf>
    <xf numFmtId="0" fontId="46" fillId="0" borderId="47" xfId="106" applyFont="1" applyFill="1" applyBorder="1" applyAlignment="1" applyProtection="1">
      <alignment horizontal="left" vertical="center"/>
      <protection/>
    </xf>
    <xf numFmtId="0" fontId="46" fillId="0" borderId="25" xfId="106" applyFont="1" applyFill="1" applyBorder="1" applyAlignment="1" applyProtection="1">
      <alignment horizontal="left" vertical="center"/>
      <protection/>
    </xf>
    <xf numFmtId="0" fontId="45" fillId="0" borderId="69" xfId="106" applyFont="1" applyFill="1" applyBorder="1" applyAlignment="1">
      <alignment horizontal="justify" vertical="center" wrapText="1"/>
      <protection/>
    </xf>
    <xf numFmtId="167" fontId="81" fillId="0" borderId="0" xfId="106" applyNumberFormat="1" applyFont="1" applyFill="1" applyBorder="1" applyAlignment="1" applyProtection="1">
      <alignment horizontal="center" vertical="center" wrapText="1"/>
      <protection/>
    </xf>
    <xf numFmtId="0" fontId="86" fillId="0" borderId="0" xfId="102" applyFont="1" applyAlignment="1">
      <alignment horizontal="center" vertical="center"/>
      <protection/>
    </xf>
    <xf numFmtId="167" fontId="42" fillId="0" borderId="19" xfId="102" applyNumberFormat="1" applyFont="1" applyBorder="1" applyAlignment="1">
      <alignment horizontal="right" vertical="center"/>
      <protection/>
    </xf>
    <xf numFmtId="167" fontId="27" fillId="0" borderId="66" xfId="102" applyNumberFormat="1" applyFont="1" applyBorder="1" applyAlignment="1">
      <alignment horizontal="center" vertical="top" wrapText="1"/>
      <protection/>
    </xf>
    <xf numFmtId="167" fontId="27" fillId="0" borderId="65" xfId="102" applyNumberFormat="1" applyFont="1" applyBorder="1" applyAlignment="1">
      <alignment horizontal="center" vertical="top" wrapText="1"/>
      <protection/>
    </xf>
    <xf numFmtId="167" fontId="46" fillId="0" borderId="46" xfId="102" applyNumberFormat="1" applyFont="1" applyBorder="1" applyAlignment="1">
      <alignment horizontal="center" vertical="center"/>
      <protection/>
    </xf>
    <xf numFmtId="167" fontId="46" fillId="0" borderId="51" xfId="102" applyNumberFormat="1" applyFont="1" applyBorder="1" applyAlignment="1">
      <alignment horizontal="center" vertical="center"/>
      <protection/>
    </xf>
    <xf numFmtId="167" fontId="46" fillId="0" borderId="46" xfId="102" applyNumberFormat="1" applyFont="1" applyBorder="1" applyAlignment="1">
      <alignment horizontal="center" vertical="top" wrapText="1"/>
      <protection/>
    </xf>
    <xf numFmtId="167" fontId="46" fillId="0" borderId="51" xfId="102" applyNumberFormat="1" applyFont="1" applyBorder="1" applyAlignment="1">
      <alignment horizontal="center" vertical="top" wrapText="1"/>
      <protection/>
    </xf>
    <xf numFmtId="167" fontId="46" fillId="0" borderId="58" xfId="102" applyNumberFormat="1" applyFont="1" applyBorder="1" applyAlignment="1">
      <alignment horizontal="center" vertical="center" wrapText="1"/>
      <protection/>
    </xf>
    <xf numFmtId="167" fontId="46" fillId="0" borderId="52" xfId="102" applyNumberFormat="1" applyFont="1" applyBorder="1" applyAlignment="1">
      <alignment horizontal="center" vertical="center" wrapText="1"/>
      <protection/>
    </xf>
    <xf numFmtId="0" fontId="46" fillId="0" borderId="20" xfId="106" applyFont="1" applyFill="1" applyBorder="1" applyAlignment="1" applyProtection="1">
      <alignment horizontal="center" vertical="center" wrapText="1"/>
      <protection/>
    </xf>
    <xf numFmtId="0" fontId="46" fillId="0" borderId="54" xfId="106" applyFont="1" applyFill="1" applyBorder="1" applyAlignment="1" applyProtection="1">
      <alignment horizontal="center" vertical="center" wrapText="1"/>
      <protection/>
    </xf>
    <xf numFmtId="0" fontId="30" fillId="0" borderId="80" xfId="106" applyFont="1" applyFill="1" applyBorder="1" applyAlignment="1" applyProtection="1">
      <alignment horizontal="left" vertical="center"/>
      <protection/>
    </xf>
    <xf numFmtId="0" fontId="30" fillId="0" borderId="124" xfId="106" applyFont="1" applyFill="1" applyBorder="1" applyAlignment="1" applyProtection="1">
      <alignment horizontal="left" vertical="center"/>
      <protection/>
    </xf>
    <xf numFmtId="0" fontId="30" fillId="0" borderId="29" xfId="106" applyFont="1" applyFill="1" applyBorder="1" applyAlignment="1" applyProtection="1">
      <alignment horizontal="left" vertical="center"/>
      <protection/>
    </xf>
    <xf numFmtId="0" fontId="30" fillId="0" borderId="93" xfId="106" applyFont="1" applyFill="1" applyBorder="1" applyAlignment="1" applyProtection="1">
      <alignment horizontal="left" vertical="center"/>
      <protection/>
    </xf>
    <xf numFmtId="0" fontId="76" fillId="0" borderId="29" xfId="0" applyFont="1" applyFill="1" applyBorder="1" applyAlignment="1">
      <alignment horizontal="left" vertical="center" wrapText="1"/>
    </xf>
    <xf numFmtId="0" fontId="76" fillId="0" borderId="93" xfId="0" applyFont="1" applyFill="1" applyBorder="1" applyAlignment="1">
      <alignment horizontal="left" vertical="center" wrapText="1"/>
    </xf>
    <xf numFmtId="0" fontId="30" fillId="0" borderId="47" xfId="106" applyFont="1" applyFill="1" applyBorder="1" applyAlignment="1" applyProtection="1">
      <alignment horizontal="left" vertical="center"/>
      <protection/>
    </xf>
    <xf numFmtId="0" fontId="30" fillId="0" borderId="25" xfId="106" applyFont="1" applyFill="1" applyBorder="1" applyAlignment="1" applyProtection="1">
      <alignment horizontal="left" vertical="center"/>
      <protection/>
    </xf>
    <xf numFmtId="0" fontId="46" fillId="0" borderId="20" xfId="106" applyFont="1" applyFill="1" applyBorder="1" applyAlignment="1" applyProtection="1">
      <alignment horizontal="center" vertical="center"/>
      <protection/>
    </xf>
    <xf numFmtId="0" fontId="46" fillId="0" borderId="43" xfId="106" applyFont="1" applyFill="1" applyBorder="1" applyAlignment="1" applyProtection="1">
      <alignment horizontal="center" vertical="center"/>
      <protection/>
    </xf>
    <xf numFmtId="0" fontId="46" fillId="0" borderId="55" xfId="106" applyFont="1" applyFill="1" applyBorder="1" applyAlignment="1" applyProtection="1">
      <alignment horizontal="center" vertical="center"/>
      <protection/>
    </xf>
    <xf numFmtId="0" fontId="46" fillId="0" borderId="54" xfId="106" applyFont="1" applyFill="1" applyBorder="1" applyAlignment="1" applyProtection="1">
      <alignment horizontal="center" vertical="center"/>
      <protection/>
    </xf>
    <xf numFmtId="10" fontId="1" fillId="0" borderId="34" xfId="101" applyNumberFormat="1" applyFont="1" applyBorder="1" applyAlignment="1">
      <alignment horizontal="center"/>
      <protection/>
    </xf>
    <xf numFmtId="10" fontId="1" fillId="0" borderId="36" xfId="101" applyNumberFormat="1" applyFont="1" applyBorder="1" applyAlignment="1">
      <alignment horizontal="center"/>
      <protection/>
    </xf>
    <xf numFmtId="10" fontId="1" fillId="0" borderId="51" xfId="101" applyNumberFormat="1" applyFont="1" applyBorder="1" applyAlignment="1">
      <alignment horizontal="center"/>
      <protection/>
    </xf>
    <xf numFmtId="10" fontId="66" fillId="0" borderId="46" xfId="101" applyNumberFormat="1" applyFont="1" applyBorder="1" applyAlignment="1">
      <alignment horizontal="center"/>
      <protection/>
    </xf>
    <xf numFmtId="10" fontId="66" fillId="0" borderId="51" xfId="101" applyNumberFormat="1" applyFont="1" applyBorder="1" applyAlignment="1">
      <alignment horizontal="center"/>
      <protection/>
    </xf>
    <xf numFmtId="10" fontId="66" fillId="0" borderId="46" xfId="101" applyNumberFormat="1" applyFont="1" applyFill="1" applyBorder="1" applyAlignment="1">
      <alignment horizontal="center"/>
      <protection/>
    </xf>
    <xf numFmtId="10" fontId="66" fillId="0" borderId="36" xfId="101" applyNumberFormat="1" applyFont="1" applyFill="1" applyBorder="1" applyAlignment="1">
      <alignment horizontal="center"/>
      <protection/>
    </xf>
    <xf numFmtId="10" fontId="66" fillId="0" borderId="51" xfId="101" applyNumberFormat="1" applyFont="1" applyFill="1" applyBorder="1" applyAlignment="1">
      <alignment horizontal="center"/>
      <protection/>
    </xf>
    <xf numFmtId="0" fontId="89" fillId="0" borderId="19" xfId="101" applyFont="1" applyFill="1" applyBorder="1" applyAlignment="1">
      <alignment horizontal="right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Alignment="1">
      <alignment horizontal="right" vertical="center"/>
      <protection/>
    </xf>
    <xf numFmtId="3" fontId="86" fillId="0" borderId="0" xfId="101" applyNumberFormat="1" applyFont="1" applyFill="1" applyBorder="1" applyAlignment="1">
      <alignment horizontal="center" vertical="center"/>
      <protection/>
    </xf>
    <xf numFmtId="0" fontId="88" fillId="0" borderId="24" xfId="101" applyFont="1" applyFill="1" applyBorder="1" applyAlignment="1">
      <alignment horizontal="center" vertical="center" wrapText="1"/>
      <protection/>
    </xf>
    <xf numFmtId="0" fontId="88" fillId="0" borderId="30" xfId="101" applyFont="1" applyFill="1" applyBorder="1" applyAlignment="1">
      <alignment horizontal="center" vertical="center" wrapText="1"/>
      <protection/>
    </xf>
    <xf numFmtId="0" fontId="88" fillId="0" borderId="72" xfId="101" applyFont="1" applyFill="1" applyBorder="1" applyAlignment="1">
      <alignment horizontal="center" vertical="center" wrapText="1"/>
      <protection/>
    </xf>
    <xf numFmtId="0" fontId="88" fillId="0" borderId="76" xfId="101" applyFont="1" applyFill="1" applyBorder="1" applyAlignment="1">
      <alignment horizontal="center" vertical="center" wrapText="1"/>
      <protection/>
    </xf>
    <xf numFmtId="0" fontId="88" fillId="0" borderId="74" xfId="101" applyFont="1" applyFill="1" applyBorder="1" applyAlignment="1">
      <alignment horizontal="center" vertical="center" wrapText="1"/>
      <protection/>
    </xf>
    <xf numFmtId="0" fontId="88" fillId="0" borderId="130" xfId="101" applyFont="1" applyFill="1" applyBorder="1" applyAlignment="1">
      <alignment horizontal="center" vertical="center" wrapText="1"/>
      <protection/>
    </xf>
    <xf numFmtId="3" fontId="26" fillId="0" borderId="70" xfId="101" applyNumberFormat="1" applyFont="1" applyFill="1" applyBorder="1" applyAlignment="1">
      <alignment horizontal="right" vertical="center"/>
      <protection/>
    </xf>
    <xf numFmtId="3" fontId="26" fillId="0" borderId="131" xfId="101" applyNumberFormat="1" applyFont="1" applyFill="1" applyBorder="1" applyAlignment="1">
      <alignment horizontal="right" vertical="center"/>
      <protection/>
    </xf>
    <xf numFmtId="3" fontId="26" fillId="0" borderId="75" xfId="101" applyNumberFormat="1" applyFont="1" applyFill="1" applyBorder="1" applyAlignment="1">
      <alignment horizontal="right" vertical="center"/>
      <protection/>
    </xf>
    <xf numFmtId="3" fontId="26" fillId="0" borderId="90" xfId="101" applyNumberFormat="1" applyFont="1" applyFill="1" applyBorder="1" applyAlignment="1">
      <alignment horizontal="right" vertical="center"/>
      <protection/>
    </xf>
    <xf numFmtId="3" fontId="24" fillId="0" borderId="74" xfId="101" applyNumberFormat="1" applyFont="1" applyFill="1" applyBorder="1" applyAlignment="1">
      <alignment horizontal="right" vertical="center"/>
      <protection/>
    </xf>
    <xf numFmtId="3" fontId="24" fillId="0" borderId="130" xfId="101" applyNumberFormat="1" applyFont="1" applyFill="1" applyBorder="1" applyAlignment="1">
      <alignment horizontal="right" vertical="center"/>
      <protection/>
    </xf>
    <xf numFmtId="3" fontId="10" fillId="0" borderId="0" xfId="101" applyNumberFormat="1" applyFont="1" applyAlignment="1">
      <alignment horizontal="center" vertical="center"/>
      <protection/>
    </xf>
    <xf numFmtId="3" fontId="72" fillId="0" borderId="0" xfId="101" applyNumberFormat="1" applyFont="1" applyAlignment="1">
      <alignment horizontal="center" vertical="center"/>
      <protection/>
    </xf>
    <xf numFmtId="0" fontId="86" fillId="0" borderId="0" xfId="101" applyNumberFormat="1" applyFont="1" applyAlignment="1">
      <alignment horizontal="center" vertical="center"/>
      <protection/>
    </xf>
    <xf numFmtId="3" fontId="86" fillId="0" borderId="0" xfId="101" applyNumberFormat="1" applyFont="1" applyAlignment="1">
      <alignment horizontal="center" vertical="center"/>
      <protection/>
    </xf>
    <xf numFmtId="3" fontId="87" fillId="0" borderId="53" xfId="101" applyNumberFormat="1" applyFont="1" applyFill="1" applyBorder="1" applyAlignment="1">
      <alignment horizontal="center" vertical="center" wrapText="1"/>
      <protection/>
    </xf>
    <xf numFmtId="3" fontId="87" fillId="0" borderId="44" xfId="101" applyNumberFormat="1" applyFont="1" applyFill="1" applyBorder="1" applyAlignment="1">
      <alignment horizontal="center" vertical="center" wrapText="1"/>
      <protection/>
    </xf>
    <xf numFmtId="3" fontId="87" fillId="0" borderId="26" xfId="101" applyNumberFormat="1" applyFont="1" applyFill="1" applyBorder="1" applyAlignment="1">
      <alignment horizontal="center" vertical="center"/>
      <protection/>
    </xf>
    <xf numFmtId="3" fontId="87" fillId="0" borderId="124" xfId="101" applyNumberFormat="1" applyFont="1" applyFill="1" applyBorder="1" applyAlignment="1">
      <alignment horizontal="center" vertical="center"/>
      <protection/>
    </xf>
    <xf numFmtId="3" fontId="87" fillId="0" borderId="50" xfId="101" applyNumberFormat="1" applyFont="1" applyFill="1" applyBorder="1" applyAlignment="1">
      <alignment horizontal="center" vertical="center"/>
      <protection/>
    </xf>
    <xf numFmtId="167" fontId="58" fillId="0" borderId="57" xfId="97" applyNumberFormat="1" applyFont="1" applyFill="1" applyBorder="1" applyAlignment="1" applyProtection="1">
      <alignment horizontal="center" textRotation="180" wrapText="1"/>
      <protection/>
    </xf>
    <xf numFmtId="167" fontId="49" fillId="0" borderId="20" xfId="97" applyNumberFormat="1" applyFont="1" applyFill="1" applyBorder="1" applyAlignment="1" applyProtection="1">
      <alignment horizontal="left" vertical="center" wrapText="1" indent="2"/>
      <protection/>
    </xf>
    <xf numFmtId="167" fontId="49" fillId="0" borderId="55" xfId="97" applyNumberFormat="1" applyFont="1" applyFill="1" applyBorder="1" applyAlignment="1" applyProtection="1">
      <alignment horizontal="left" vertical="center" wrapText="1" indent="2"/>
      <protection/>
    </xf>
    <xf numFmtId="167" fontId="46" fillId="0" borderId="0" xfId="97" applyNumberFormat="1" applyFont="1" applyFill="1" applyAlignment="1" applyProtection="1">
      <alignment horizontal="center" vertical="center" wrapText="1"/>
      <protection/>
    </xf>
    <xf numFmtId="167" fontId="49" fillId="0" borderId="132" xfId="97" applyNumberFormat="1" applyFont="1" applyFill="1" applyBorder="1" applyAlignment="1" applyProtection="1">
      <alignment horizontal="center" vertical="center" wrapText="1"/>
      <protection/>
    </xf>
    <xf numFmtId="167" fontId="49" fillId="0" borderId="96" xfId="97" applyNumberFormat="1" applyFont="1" applyFill="1" applyBorder="1" applyAlignment="1" applyProtection="1">
      <alignment horizontal="center" vertical="center" wrapText="1"/>
      <protection/>
    </xf>
    <xf numFmtId="167" fontId="49" fillId="0" borderId="132" xfId="97" applyNumberFormat="1" applyFont="1" applyFill="1" applyBorder="1" applyAlignment="1" applyProtection="1">
      <alignment horizontal="center" vertical="center"/>
      <protection/>
    </xf>
    <xf numFmtId="167" fontId="49" fillId="0" borderId="96" xfId="97" applyNumberFormat="1" applyFont="1" applyFill="1" applyBorder="1" applyAlignment="1" applyProtection="1">
      <alignment horizontal="center" vertical="center"/>
      <protection/>
    </xf>
    <xf numFmtId="49" fontId="49" fillId="0" borderId="132" xfId="97" applyNumberFormat="1" applyFont="1" applyFill="1" applyBorder="1" applyAlignment="1" applyProtection="1">
      <alignment horizontal="center" vertical="center" wrapText="1"/>
      <protection/>
    </xf>
    <xf numFmtId="49" fontId="49" fillId="0" borderId="96" xfId="97" applyNumberFormat="1" applyFont="1" applyFill="1" applyBorder="1" applyAlignment="1" applyProtection="1">
      <alignment horizontal="center" vertical="center" wrapText="1"/>
      <protection/>
    </xf>
    <xf numFmtId="167" fontId="49" fillId="0" borderId="80" xfId="97" applyNumberFormat="1" applyFont="1" applyFill="1" applyBorder="1" applyAlignment="1" applyProtection="1">
      <alignment horizontal="center" vertical="center"/>
      <protection/>
    </xf>
    <xf numFmtId="167" fontId="49" fillId="0" borderId="56" xfId="97" applyNumberFormat="1" applyFont="1" applyFill="1" applyBorder="1" applyAlignment="1" applyProtection="1">
      <alignment horizontal="center" vertical="center"/>
      <protection/>
    </xf>
    <xf numFmtId="167" fontId="49" fillId="0" borderId="122" xfId="97" applyNumberFormat="1" applyFont="1" applyFill="1" applyBorder="1" applyAlignment="1" applyProtection="1">
      <alignment horizontal="center" vertical="center"/>
      <protection/>
    </xf>
    <xf numFmtId="3" fontId="28" fillId="53" borderId="67" xfId="95" applyNumberFormat="1" applyFont="1" applyFill="1" applyBorder="1" applyAlignment="1">
      <alignment horizontal="right" vertical="center"/>
      <protection/>
    </xf>
    <xf numFmtId="3" fontId="28" fillId="53" borderId="71" xfId="95" applyNumberFormat="1" applyFont="1" applyFill="1" applyBorder="1" applyAlignment="1">
      <alignment horizontal="right" vertical="center"/>
      <protection/>
    </xf>
    <xf numFmtId="3" fontId="28" fillId="53" borderId="75" xfId="95" applyNumberFormat="1" applyFont="1" applyFill="1" applyBorder="1" applyAlignment="1">
      <alignment horizontal="right" vertical="center"/>
      <protection/>
    </xf>
    <xf numFmtId="3" fontId="28" fillId="53" borderId="90" xfId="95" applyNumberFormat="1" applyFont="1" applyFill="1" applyBorder="1" applyAlignment="1">
      <alignment horizontal="right" vertical="center"/>
      <protection/>
    </xf>
    <xf numFmtId="0" fontId="46" fillId="53" borderId="0" xfId="95" applyFont="1" applyFill="1" applyAlignment="1">
      <alignment horizontal="center"/>
      <protection/>
    </xf>
    <xf numFmtId="0" fontId="58" fillId="53" borderId="19" xfId="95" applyFont="1" applyFill="1" applyBorder="1" applyAlignment="1">
      <alignment horizontal="right"/>
      <protection/>
    </xf>
    <xf numFmtId="0" fontId="28" fillId="53" borderId="73" xfId="95" applyFont="1" applyFill="1" applyBorder="1" applyAlignment="1">
      <alignment horizontal="center" vertical="center" wrapText="1"/>
      <protection/>
    </xf>
    <xf numFmtId="0" fontId="28" fillId="53" borderId="122" xfId="95" applyFont="1" applyFill="1" applyBorder="1" applyAlignment="1">
      <alignment horizontal="center" vertical="center" wrapText="1"/>
      <protection/>
    </xf>
    <xf numFmtId="0" fontId="42" fillId="0" borderId="0" xfId="100" applyFont="1" applyFill="1" applyAlignment="1">
      <alignment horizontal="right"/>
      <protection/>
    </xf>
    <xf numFmtId="0" fontId="27" fillId="0" borderId="0" xfId="100" applyFont="1" applyFill="1" applyAlignment="1" applyProtection="1">
      <alignment horizontal="center" vertical="top" wrapText="1"/>
      <protection locked="0"/>
    </xf>
    <xf numFmtId="0" fontId="0" fillId="0" borderId="34" xfId="95" applyFont="1" applyBorder="1" applyAlignment="1">
      <alignment horizontal="center"/>
      <protection/>
    </xf>
    <xf numFmtId="0" fontId="0" fillId="0" borderId="28" xfId="95" applyFont="1" applyBorder="1" applyAlignment="1">
      <alignment horizontal="center"/>
      <protection/>
    </xf>
    <xf numFmtId="0" fontId="9" fillId="0" borderId="0" xfId="95" applyFont="1" applyAlignment="1">
      <alignment horizontal="right"/>
      <protection/>
    </xf>
    <xf numFmtId="0" fontId="48" fillId="0" borderId="0" xfId="95" applyFont="1" applyAlignment="1">
      <alignment horizontal="right"/>
      <protection/>
    </xf>
    <xf numFmtId="0" fontId="3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63" xfId="95" applyFont="1" applyBorder="1" applyAlignment="1">
      <alignment horizontal="center" vertical="center"/>
      <protection/>
    </xf>
    <xf numFmtId="0" fontId="6" fillId="0" borderId="43" xfId="95" applyFont="1" applyBorder="1" applyAlignment="1">
      <alignment horizontal="center" vertical="center"/>
      <protection/>
    </xf>
    <xf numFmtId="0" fontId="0" fillId="0" borderId="35" xfId="95" applyFont="1" applyBorder="1" applyAlignment="1">
      <alignment horizontal="left" vertical="center" wrapText="1"/>
      <protection/>
    </xf>
    <xf numFmtId="0" fontId="0" fillId="0" borderId="49" xfId="95" applyFont="1" applyBorder="1" applyAlignment="1">
      <alignment horizontal="left" vertical="center" wrapText="1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34" xfId="95" applyBorder="1" applyAlignment="1">
      <alignment horizontal="center"/>
      <protection/>
    </xf>
    <xf numFmtId="0" fontId="0" fillId="0" borderId="28" xfId="95" applyBorder="1" applyAlignment="1">
      <alignment horizontal="center"/>
      <protection/>
    </xf>
    <xf numFmtId="0" fontId="0" fillId="0" borderId="34" xfId="95" applyFont="1" applyBorder="1" applyAlignment="1">
      <alignment horizontal="left" vertical="center" wrapText="1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34" xfId="95" applyNumberFormat="1" applyBorder="1" applyAlignment="1">
      <alignment horizontal="right" vertical="center"/>
      <protection/>
    </xf>
    <xf numFmtId="3" fontId="0" fillId="0" borderId="28" xfId="95" applyNumberFormat="1" applyBorder="1" applyAlignment="1">
      <alignment horizontal="right" vertical="center"/>
      <protection/>
    </xf>
    <xf numFmtId="167" fontId="62" fillId="0" borderId="0" xfId="0" applyNumberFormat="1" applyFont="1" applyFill="1" applyAlignment="1">
      <alignment horizontal="righ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1" fillId="0" borderId="32" xfId="102" applyNumberFormat="1" applyFill="1" applyBorder="1" applyAlignment="1" applyProtection="1">
      <alignment vertical="center" wrapText="1"/>
      <protection locked="0"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(1)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VAGYONK" xfId="107"/>
    <cellStyle name="Normál_VAGYONKIM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Title" xfId="118"/>
    <cellStyle name="Total" xfId="119"/>
    <cellStyle name="Warning Text" xfId="12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wnloads\1496125867_1-22.%20melleklet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.a.sz.m.fejlesztés (3)"/>
      <sheetName val="6.b.sz.m.intfejl (2)"/>
      <sheetName val="7.sz.m.Dologi kiadás (3)"/>
      <sheetName val="8.sz.m.szociális kiadások (2)"/>
      <sheetName val="9.sz.m.átadott pe (3)"/>
      <sheetName val="10 .sz.m. Létszám (2)"/>
      <sheetName val="11.sz.m.maradvány"/>
      <sheetName val="12.sz.m.mérleg"/>
      <sheetName val="13a.mell.Vagyokim. Beled Önk"/>
      <sheetName val="13b.mell.Vagyokim. Közös Hiv"/>
      <sheetName val="13c.mell.Vagyokim.BÁMK"/>
      <sheetName val="13d.mell Önk. érték nélkül Bele"/>
      <sheetName val="13e.mell érték nélkül Közös Hiv"/>
      <sheetName val="13f.mell érték nélkül BÁMK"/>
      <sheetName val="14. sz adósság kötelezettség"/>
      <sheetName val="15. saját bevételek"/>
      <sheetName val="16. sz.m. hitelállomány"/>
      <sheetName val="17.sz.m.akü"/>
      <sheetName val="18.sz.m. állami támogatás "/>
      <sheetName val="19. sz.m. közvetett tám. (2)"/>
      <sheetName val="20.sz.m.többéves kihatás"/>
      <sheetName val="21.sz.m.részesedések"/>
      <sheetName val="22.sz.m. pe változás"/>
      <sheetName val="üres lap"/>
    </sheetNames>
    <sheetDataSet>
      <sheetData sheetId="14">
        <row r="192">
          <cell r="C1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3"/>
  <sheetViews>
    <sheetView zoomScale="70" zoomScaleNormal="70" workbookViewId="0" topLeftCell="A44">
      <selection activeCell="K57" sqref="K57"/>
    </sheetView>
  </sheetViews>
  <sheetFormatPr defaultColWidth="9.140625" defaultRowHeight="12.75"/>
  <cols>
    <col min="1" max="2" width="5.7109375" style="86" customWidth="1"/>
    <col min="3" max="3" width="8.8515625" style="86" customWidth="1"/>
    <col min="4" max="4" width="61.7109375" style="20" customWidth="1"/>
    <col min="5" max="5" width="24.28125" style="314" customWidth="1"/>
    <col min="6" max="6" width="19.140625" style="314" hidden="1" customWidth="1"/>
    <col min="7" max="9" width="16.7109375" style="314" hidden="1" customWidth="1"/>
    <col min="10" max="12" width="16.7109375" style="314" customWidth="1"/>
    <col min="13" max="13" width="16.7109375" style="315" customWidth="1"/>
    <col min="14" max="14" width="19.140625" style="315" hidden="1" customWidth="1"/>
    <col min="15" max="15" width="18.7109375" style="315" hidden="1" customWidth="1"/>
    <col min="16" max="16" width="17.421875" style="315" hidden="1" customWidth="1"/>
    <col min="17" max="17" width="16.140625" style="315" hidden="1" customWidth="1"/>
    <col min="18" max="19" width="16.28125" style="315" customWidth="1"/>
    <col min="20" max="20" width="11.57421875" style="315" customWidth="1"/>
    <col min="21" max="21" width="17.140625" style="316" customWidth="1"/>
    <col min="22" max="22" width="14.8515625" style="315" hidden="1" customWidth="1"/>
    <col min="23" max="23" width="15.00390625" style="315" hidden="1" customWidth="1"/>
    <col min="24" max="24" width="14.421875" style="315" hidden="1" customWidth="1"/>
    <col min="25" max="25" width="15.00390625" style="316" hidden="1" customWidth="1"/>
    <col min="26" max="28" width="15.421875" style="316" customWidth="1"/>
    <col min="29" max="29" width="15.00390625" style="316" customWidth="1"/>
    <col min="30" max="30" width="15.421875" style="316" hidden="1" customWidth="1"/>
    <col min="31" max="31" width="18.140625" style="316" hidden="1" customWidth="1"/>
    <col min="32" max="32" width="16.8515625" style="316" hidden="1" customWidth="1"/>
    <col min="33" max="33" width="15.00390625" style="316" hidden="1" customWidth="1"/>
    <col min="34" max="35" width="15.7109375" style="316" customWidth="1"/>
    <col min="36" max="36" width="15.00390625" style="316" customWidth="1"/>
    <col min="37" max="37" width="16.28125" style="316" customWidth="1"/>
    <col min="38" max="16384" width="9.140625" style="316" customWidth="1"/>
  </cols>
  <sheetData>
    <row r="1" spans="1:33" ht="12.75">
      <c r="A1" s="83"/>
      <c r="B1" s="83"/>
      <c r="C1" s="83"/>
      <c r="D1" s="84"/>
      <c r="Q1" s="1450" t="s">
        <v>1441</v>
      </c>
      <c r="R1" s="1451"/>
      <c r="S1" s="1451"/>
      <c r="T1" s="1451"/>
      <c r="U1" s="1451"/>
      <c r="V1" s="1451"/>
      <c r="W1" s="1451"/>
      <c r="X1" s="1451"/>
      <c r="Y1" s="1451"/>
      <c r="Z1" s="1451"/>
      <c r="AA1" s="1451"/>
      <c r="AB1" s="1451"/>
      <c r="AC1" s="1451"/>
      <c r="AD1" s="1451"/>
      <c r="AE1" s="1451"/>
      <c r="AF1" s="1451"/>
      <c r="AG1" s="1451"/>
    </row>
    <row r="2" spans="1:24" s="318" customFormat="1" ht="34.5" customHeight="1">
      <c r="A2" s="1430" t="s">
        <v>542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1430"/>
      <c r="S2" s="1430"/>
      <c r="T2" s="1430"/>
      <c r="U2" s="1430"/>
      <c r="V2" s="239"/>
      <c r="W2" s="317"/>
      <c r="X2" s="317"/>
    </row>
    <row r="3" spans="1:21" ht="13.5" thickBot="1">
      <c r="A3" s="85"/>
      <c r="B3" s="85"/>
      <c r="C3" s="85"/>
      <c r="D3" s="81"/>
      <c r="M3" s="67"/>
      <c r="N3" s="67"/>
      <c r="O3" s="67"/>
      <c r="P3" s="67"/>
      <c r="Q3" s="67"/>
      <c r="R3" s="67"/>
      <c r="S3" s="67"/>
      <c r="T3" s="67"/>
      <c r="U3" s="38" t="s">
        <v>449</v>
      </c>
    </row>
    <row r="4" spans="1:36" ht="45.75" customHeight="1" thickBot="1">
      <c r="A4" s="1431" t="s">
        <v>6</v>
      </c>
      <c r="B4" s="1432"/>
      <c r="C4" s="1432"/>
      <c r="D4" s="319" t="s">
        <v>9</v>
      </c>
      <c r="E4" s="1427" t="s">
        <v>5</v>
      </c>
      <c r="F4" s="1428"/>
      <c r="G4" s="1428"/>
      <c r="H4" s="1428"/>
      <c r="I4" s="1428"/>
      <c r="J4" s="1428"/>
      <c r="K4" s="1428"/>
      <c r="L4" s="1429"/>
      <c r="M4" s="1434" t="s">
        <v>61</v>
      </c>
      <c r="N4" s="1435"/>
      <c r="O4" s="1435"/>
      <c r="P4" s="1435"/>
      <c r="Q4" s="1435"/>
      <c r="R4" s="1435"/>
      <c r="S4" s="1436"/>
      <c r="T4" s="1437"/>
      <c r="U4" s="1427" t="s">
        <v>62</v>
      </c>
      <c r="V4" s="1428"/>
      <c r="W4" s="1428"/>
      <c r="X4" s="1428"/>
      <c r="Y4" s="1428"/>
      <c r="Z4" s="1428"/>
      <c r="AA4" s="1428"/>
      <c r="AB4" s="1429"/>
      <c r="AC4" s="1434" t="s">
        <v>66</v>
      </c>
      <c r="AD4" s="1435"/>
      <c r="AE4" s="1435"/>
      <c r="AF4" s="1435"/>
      <c r="AG4" s="1435"/>
      <c r="AH4" s="1435"/>
      <c r="AI4" s="1436"/>
      <c r="AJ4" s="1437"/>
    </row>
    <row r="5" spans="1:36" ht="45.75" customHeight="1" thickBot="1">
      <c r="A5" s="301"/>
      <c r="B5" s="302"/>
      <c r="C5" s="302"/>
      <c r="D5" s="319"/>
      <c r="E5" s="353" t="s">
        <v>65</v>
      </c>
      <c r="F5" s="354" t="s">
        <v>227</v>
      </c>
      <c r="G5" s="354" t="s">
        <v>232</v>
      </c>
      <c r="H5" s="354" t="s">
        <v>234</v>
      </c>
      <c r="I5" s="354" t="s">
        <v>439</v>
      </c>
      <c r="J5" s="353" t="s">
        <v>443</v>
      </c>
      <c r="K5" s="354" t="s">
        <v>401</v>
      </c>
      <c r="L5" s="354" t="s">
        <v>436</v>
      </c>
      <c r="M5" s="353" t="s">
        <v>65</v>
      </c>
      <c r="N5" s="354" t="s">
        <v>227</v>
      </c>
      <c r="O5" s="354" t="s">
        <v>232</v>
      </c>
      <c r="P5" s="354" t="s">
        <v>234</v>
      </c>
      <c r="Q5" s="354" t="s">
        <v>439</v>
      </c>
      <c r="R5" s="354" t="s">
        <v>443</v>
      </c>
      <c r="S5" s="354" t="s">
        <v>401</v>
      </c>
      <c r="T5" s="354" t="s">
        <v>436</v>
      </c>
      <c r="U5" s="353" t="s">
        <v>65</v>
      </c>
      <c r="V5" s="354" t="s">
        <v>227</v>
      </c>
      <c r="W5" s="354" t="s">
        <v>232</v>
      </c>
      <c r="X5" s="354" t="s">
        <v>234</v>
      </c>
      <c r="Y5" s="354" t="s">
        <v>439</v>
      </c>
      <c r="Z5" s="355" t="s">
        <v>443</v>
      </c>
      <c r="AA5" s="354" t="s">
        <v>401</v>
      </c>
      <c r="AB5" s="354" t="s">
        <v>436</v>
      </c>
      <c r="AC5" s="353" t="s">
        <v>65</v>
      </c>
      <c r="AD5" s="354" t="s">
        <v>227</v>
      </c>
      <c r="AE5" s="354" t="s">
        <v>232</v>
      </c>
      <c r="AF5" s="354" t="s">
        <v>234</v>
      </c>
      <c r="AG5" s="354" t="s">
        <v>439</v>
      </c>
      <c r="AH5" s="355" t="s">
        <v>443</v>
      </c>
      <c r="AI5" s="354" t="s">
        <v>401</v>
      </c>
      <c r="AJ5" s="354" t="s">
        <v>436</v>
      </c>
    </row>
    <row r="6" spans="1:36" s="7" customFormat="1" ht="21.75" customHeight="1" thickBot="1">
      <c r="A6" s="96"/>
      <c r="B6" s="1433"/>
      <c r="C6" s="1433"/>
      <c r="D6" s="1433"/>
      <c r="E6" s="356"/>
      <c r="F6" s="280"/>
      <c r="G6" s="280"/>
      <c r="H6" s="280"/>
      <c r="I6" s="280"/>
      <c r="J6" s="685"/>
      <c r="K6" s="1099"/>
      <c r="L6" s="1099"/>
      <c r="M6" s="356"/>
      <c r="N6" s="280"/>
      <c r="O6" s="280"/>
      <c r="P6" s="280"/>
      <c r="Q6" s="280"/>
      <c r="R6" s="280"/>
      <c r="S6" s="1101"/>
      <c r="T6" s="1099"/>
      <c r="U6" s="356"/>
      <c r="V6" s="280"/>
      <c r="W6" s="280"/>
      <c r="X6" s="280"/>
      <c r="Y6" s="280"/>
      <c r="Z6" s="685"/>
      <c r="AA6" s="1099"/>
      <c r="AB6" s="1099"/>
      <c r="AC6" s="356"/>
      <c r="AD6" s="280"/>
      <c r="AE6" s="280"/>
      <c r="AF6" s="280"/>
      <c r="AH6" s="685"/>
      <c r="AI6" s="685"/>
      <c r="AJ6" s="1099"/>
    </row>
    <row r="7" spans="1:37" s="7" customFormat="1" ht="21.75" customHeight="1" thickBot="1">
      <c r="A7" s="96" t="s">
        <v>27</v>
      </c>
      <c r="B7" s="1433" t="s">
        <v>282</v>
      </c>
      <c r="C7" s="1433"/>
      <c r="D7" s="1433"/>
      <c r="E7" s="356">
        <f aca="true" t="shared" si="0" ref="E7:K7">E8+E13+E16+E17+E20</f>
        <v>171760000</v>
      </c>
      <c r="F7" s="280">
        <f t="shared" si="0"/>
        <v>171760000</v>
      </c>
      <c r="G7" s="280">
        <f t="shared" si="0"/>
        <v>174481890</v>
      </c>
      <c r="H7" s="280">
        <f t="shared" si="0"/>
        <v>174481890</v>
      </c>
      <c r="I7" s="280">
        <f t="shared" si="0"/>
        <v>174992890</v>
      </c>
      <c r="J7" s="280">
        <f t="shared" si="0"/>
        <v>189188503</v>
      </c>
      <c r="K7" s="280">
        <f t="shared" si="0"/>
        <v>183863379</v>
      </c>
      <c r="L7" s="686">
        <f>+K7/J7</f>
        <v>0.9718528139101561</v>
      </c>
      <c r="M7" s="356">
        <f aca="true" t="shared" si="1" ref="M7:S7">M8+M13+M16+M17+M20</f>
        <v>150814518</v>
      </c>
      <c r="N7" s="280">
        <f t="shared" si="1"/>
        <v>148824015</v>
      </c>
      <c r="O7" s="280">
        <f t="shared" si="1"/>
        <v>151701162</v>
      </c>
      <c r="P7" s="280">
        <f t="shared" si="1"/>
        <v>151701159</v>
      </c>
      <c r="Q7" s="280">
        <f t="shared" si="1"/>
        <v>152142156</v>
      </c>
      <c r="R7" s="280">
        <f t="shared" si="1"/>
        <v>169418872</v>
      </c>
      <c r="S7" s="280">
        <f t="shared" si="1"/>
        <v>164093748</v>
      </c>
      <c r="T7" s="686">
        <f>+S7/R7</f>
        <v>0.9685682950362224</v>
      </c>
      <c r="U7" s="356">
        <f aca="true" t="shared" si="2" ref="U7:Z7">U8+U13+U16+U17+U20</f>
        <v>20945482</v>
      </c>
      <c r="V7" s="280">
        <f t="shared" si="2"/>
        <v>22935985</v>
      </c>
      <c r="W7" s="280">
        <f t="shared" si="2"/>
        <v>22780728</v>
      </c>
      <c r="X7" s="280">
        <f t="shared" si="2"/>
        <v>22780731</v>
      </c>
      <c r="Y7" s="280">
        <f t="shared" si="2"/>
        <v>22850734</v>
      </c>
      <c r="Z7" s="280">
        <f t="shared" si="2"/>
        <v>19769631</v>
      </c>
      <c r="AA7" s="280">
        <f>AA8+AA13+AA16+AA17+AA20</f>
        <v>19769631</v>
      </c>
      <c r="AB7" s="686">
        <f>+AA7/Z7</f>
        <v>1</v>
      </c>
      <c r="AC7" s="356">
        <f aca="true" t="shared" si="3" ref="AC7:AH7">AC8+AC13+AC16+AC17+AC20</f>
        <v>5610894</v>
      </c>
      <c r="AD7" s="356">
        <f t="shared" si="3"/>
        <v>5610894</v>
      </c>
      <c r="AE7" s="356">
        <f t="shared" si="3"/>
        <v>5610894</v>
      </c>
      <c r="AF7" s="356">
        <f t="shared" si="3"/>
        <v>5610894</v>
      </c>
      <c r="AG7" s="356">
        <f t="shared" si="3"/>
        <v>5610894</v>
      </c>
      <c r="AH7" s="356">
        <f t="shared" si="3"/>
        <v>5610894</v>
      </c>
      <c r="AI7" s="356">
        <f>AI8+AI13+AI16+AI17+AI20</f>
        <v>5610894</v>
      </c>
      <c r="AJ7" s="686">
        <f>+AI7/AH7</f>
        <v>1</v>
      </c>
      <c r="AK7" s="1010"/>
    </row>
    <row r="8" spans="1:37" ht="21.75" customHeight="1">
      <c r="A8" s="577"/>
      <c r="B8" s="241" t="s">
        <v>36</v>
      </c>
      <c r="C8" s="1452" t="s">
        <v>283</v>
      </c>
      <c r="D8" s="1452"/>
      <c r="E8" s="426">
        <f aca="true" t="shared" si="4" ref="E8:K8">SUM(E9:E12)</f>
        <v>17500000</v>
      </c>
      <c r="F8" s="427">
        <f t="shared" si="4"/>
        <v>17500000</v>
      </c>
      <c r="G8" s="427">
        <f t="shared" si="4"/>
        <v>17500000</v>
      </c>
      <c r="H8" s="427">
        <f t="shared" si="4"/>
        <v>17500000</v>
      </c>
      <c r="I8" s="427">
        <f t="shared" si="4"/>
        <v>17500000</v>
      </c>
      <c r="J8" s="427">
        <f t="shared" si="4"/>
        <v>19179992</v>
      </c>
      <c r="K8" s="427">
        <f t="shared" si="4"/>
        <v>18784044</v>
      </c>
      <c r="L8" s="687">
        <f aca="true" t="shared" si="5" ref="L8:L64">+K8/J8</f>
        <v>0.9793561957690076</v>
      </c>
      <c r="M8" s="426">
        <f aca="true" t="shared" si="6" ref="M8:S8">SUM(M9:M12)</f>
        <v>17500000</v>
      </c>
      <c r="N8" s="427">
        <f t="shared" si="6"/>
        <v>17500000</v>
      </c>
      <c r="O8" s="427">
        <f t="shared" si="6"/>
        <v>17500000</v>
      </c>
      <c r="P8" s="427">
        <f t="shared" si="6"/>
        <v>17500000</v>
      </c>
      <c r="Q8" s="427">
        <f t="shared" si="6"/>
        <v>17500000</v>
      </c>
      <c r="R8" s="427">
        <f t="shared" si="6"/>
        <v>19179992</v>
      </c>
      <c r="S8" s="427">
        <f t="shared" si="6"/>
        <v>18784044</v>
      </c>
      <c r="T8" s="687">
        <f aca="true" t="shared" si="7" ref="T8:T64">+S8/R8</f>
        <v>0.9793561957690076</v>
      </c>
      <c r="U8" s="426">
        <v>0</v>
      </c>
      <c r="V8" s="427"/>
      <c r="W8" s="427"/>
      <c r="X8" s="427"/>
      <c r="Y8" s="427"/>
      <c r="Z8" s="427"/>
      <c r="AA8" s="427"/>
      <c r="AB8" s="687"/>
      <c r="AC8" s="426">
        <v>0</v>
      </c>
      <c r="AD8" s="426">
        <v>0</v>
      </c>
      <c r="AE8" s="426">
        <v>0</v>
      </c>
      <c r="AF8" s="426">
        <v>0</v>
      </c>
      <c r="AG8" s="426">
        <v>0</v>
      </c>
      <c r="AH8" s="426">
        <v>0</v>
      </c>
      <c r="AI8" s="426">
        <v>0</v>
      </c>
      <c r="AJ8" s="687"/>
      <c r="AK8" s="1010"/>
    </row>
    <row r="9" spans="1:37" ht="21.75" customHeight="1">
      <c r="A9" s="93"/>
      <c r="B9" s="89"/>
      <c r="C9" s="89" t="s">
        <v>288</v>
      </c>
      <c r="D9" s="320" t="s">
        <v>284</v>
      </c>
      <c r="E9" s="358">
        <f>'3.sz.m Önk  bev.'!E9</f>
        <v>0</v>
      </c>
      <c r="F9" s="282">
        <f>'3.sz.m Önk  bev.'!F9</f>
        <v>0</v>
      </c>
      <c r="G9" s="282">
        <f>'3.sz.m Önk  bev.'!G9</f>
        <v>0</v>
      </c>
      <c r="H9" s="282">
        <f>'3.sz.m Önk  bev.'!H9</f>
        <v>0</v>
      </c>
      <c r="I9" s="282">
        <f>'3.sz.m Önk  bev.'!I9</f>
        <v>0</v>
      </c>
      <c r="J9" s="282">
        <f>'3.sz.m Önk  bev.'!J9</f>
        <v>0</v>
      </c>
      <c r="K9" s="282">
        <f>'3.sz.m Önk  bev.'!K9</f>
        <v>0</v>
      </c>
      <c r="L9" s="688"/>
      <c r="M9" s="358">
        <f>'3.sz.m Önk  bev.'!M9</f>
        <v>0</v>
      </c>
      <c r="N9" s="282">
        <f>'3.sz.m Önk  bev.'!N9</f>
        <v>0</v>
      </c>
      <c r="O9" s="282">
        <f>'3.sz.m Önk  bev.'!O9</f>
        <v>0</v>
      </c>
      <c r="P9" s="282">
        <f>'3.sz.m Önk  bev.'!P9</f>
        <v>0</v>
      </c>
      <c r="Q9" s="282">
        <f>'3.sz.m Önk  bev.'!Q9</f>
        <v>0</v>
      </c>
      <c r="R9" s="282">
        <f>'3.sz.m Önk  bev.'!R9</f>
        <v>0</v>
      </c>
      <c r="S9" s="282">
        <f>'3.sz.m Önk  bev.'!S9</f>
        <v>0</v>
      </c>
      <c r="T9" s="688"/>
      <c r="U9" s="358">
        <v>0</v>
      </c>
      <c r="V9" s="282"/>
      <c r="W9" s="282"/>
      <c r="X9" s="282"/>
      <c r="Y9" s="282"/>
      <c r="Z9" s="282"/>
      <c r="AA9" s="282"/>
      <c r="AB9" s="688"/>
      <c r="AC9" s="358">
        <v>0</v>
      </c>
      <c r="AD9" s="358">
        <v>0</v>
      </c>
      <c r="AE9" s="358">
        <v>0</v>
      </c>
      <c r="AF9" s="358">
        <v>0</v>
      </c>
      <c r="AG9" s="358">
        <v>0</v>
      </c>
      <c r="AH9" s="358">
        <v>0</v>
      </c>
      <c r="AI9" s="358">
        <v>0</v>
      </c>
      <c r="AJ9" s="688"/>
      <c r="AK9" s="1010"/>
    </row>
    <row r="10" spans="1:37" ht="21.75" customHeight="1">
      <c r="A10" s="93"/>
      <c r="B10" s="89"/>
      <c r="C10" s="89" t="s">
        <v>289</v>
      </c>
      <c r="D10" s="320" t="s">
        <v>269</v>
      </c>
      <c r="E10" s="358">
        <f>'3.sz.m Önk  bev.'!E10</f>
        <v>0</v>
      </c>
      <c r="F10" s="282">
        <f>'3.sz.m Önk  bev.'!F10</f>
        <v>0</v>
      </c>
      <c r="G10" s="282">
        <f>'3.sz.m Önk  bev.'!G10</f>
        <v>0</v>
      </c>
      <c r="H10" s="282">
        <f>'3.sz.m Önk  bev.'!H10</f>
        <v>0</v>
      </c>
      <c r="I10" s="282">
        <f>'3.sz.m Önk  bev.'!I10</f>
        <v>0</v>
      </c>
      <c r="J10" s="282">
        <f>'3.sz.m Önk  bev.'!J10</f>
        <v>0</v>
      </c>
      <c r="K10" s="282">
        <f>'3.sz.m Önk  bev.'!K10</f>
        <v>0</v>
      </c>
      <c r="L10" s="688"/>
      <c r="M10" s="358">
        <f>'3.sz.m Önk  bev.'!M10</f>
        <v>0</v>
      </c>
      <c r="N10" s="282">
        <f>'3.sz.m Önk  bev.'!N10</f>
        <v>0</v>
      </c>
      <c r="O10" s="282">
        <f>'3.sz.m Önk  bev.'!O10</f>
        <v>0</v>
      </c>
      <c r="P10" s="282">
        <f>'3.sz.m Önk  bev.'!P10</f>
        <v>0</v>
      </c>
      <c r="Q10" s="282">
        <f>'3.sz.m Önk  bev.'!Q10</f>
        <v>0</v>
      </c>
      <c r="R10" s="282">
        <f>'3.sz.m Önk  bev.'!R10</f>
        <v>0</v>
      </c>
      <c r="S10" s="282">
        <f>'3.sz.m Önk  bev.'!S10</f>
        <v>0</v>
      </c>
      <c r="T10" s="688"/>
      <c r="U10" s="358">
        <v>0</v>
      </c>
      <c r="V10" s="282"/>
      <c r="W10" s="282"/>
      <c r="X10" s="282"/>
      <c r="Y10" s="282"/>
      <c r="Z10" s="282"/>
      <c r="AA10" s="282"/>
      <c r="AB10" s="688"/>
      <c r="AC10" s="358">
        <v>0</v>
      </c>
      <c r="AD10" s="358">
        <v>0</v>
      </c>
      <c r="AE10" s="358">
        <v>0</v>
      </c>
      <c r="AF10" s="358">
        <v>0</v>
      </c>
      <c r="AG10" s="358">
        <v>0</v>
      </c>
      <c r="AH10" s="358">
        <v>0</v>
      </c>
      <c r="AI10" s="358">
        <v>0</v>
      </c>
      <c r="AJ10" s="688"/>
      <c r="AK10" s="1010"/>
    </row>
    <row r="11" spans="1:37" ht="21.75" customHeight="1">
      <c r="A11" s="93"/>
      <c r="B11" s="89"/>
      <c r="C11" s="89" t="s">
        <v>290</v>
      </c>
      <c r="D11" s="320" t="s">
        <v>268</v>
      </c>
      <c r="E11" s="358">
        <f>'3.sz.m Önk  bev.'!E11</f>
        <v>17500000</v>
      </c>
      <c r="F11" s="282">
        <f>'3.sz.m Önk  bev.'!F11</f>
        <v>17500000</v>
      </c>
      <c r="G11" s="282">
        <f>'3.sz.m Önk  bev.'!G11</f>
        <v>17500000</v>
      </c>
      <c r="H11" s="282">
        <f>'3.sz.m Önk  bev.'!H11</f>
        <v>17500000</v>
      </c>
      <c r="I11" s="282">
        <f>'3.sz.m Önk  bev.'!I11</f>
        <v>17500000</v>
      </c>
      <c r="J11" s="282">
        <f>'3.sz.m Önk  bev.'!J11</f>
        <v>19179992</v>
      </c>
      <c r="K11" s="282">
        <f>'3.sz.m Önk  bev.'!K11</f>
        <v>18784044</v>
      </c>
      <c r="L11" s="688">
        <f t="shared" si="5"/>
        <v>0.9793561957690076</v>
      </c>
      <c r="M11" s="358">
        <f>'3.sz.m Önk  bev.'!M11</f>
        <v>17500000</v>
      </c>
      <c r="N11" s="282">
        <f>'3.sz.m Önk  bev.'!N11</f>
        <v>17500000</v>
      </c>
      <c r="O11" s="282">
        <f>'3.sz.m Önk  bev.'!O11</f>
        <v>17500000</v>
      </c>
      <c r="P11" s="282">
        <f>'3.sz.m Önk  bev.'!P11</f>
        <v>17500000</v>
      </c>
      <c r="Q11" s="282">
        <f>'3.sz.m Önk  bev.'!Q11</f>
        <v>17500000</v>
      </c>
      <c r="R11" s="282">
        <f>'3.sz.m Önk  bev.'!R11</f>
        <v>19179992</v>
      </c>
      <c r="S11" s="282">
        <f>'3.sz.m Önk  bev.'!S11</f>
        <v>18784044</v>
      </c>
      <c r="T11" s="688">
        <f t="shared" si="7"/>
        <v>0.9793561957690076</v>
      </c>
      <c r="U11" s="358">
        <v>0</v>
      </c>
      <c r="V11" s="282"/>
      <c r="W11" s="282"/>
      <c r="X11" s="282"/>
      <c r="Y11" s="282"/>
      <c r="Z11" s="282"/>
      <c r="AA11" s="282"/>
      <c r="AB11" s="688"/>
      <c r="AC11" s="358">
        <v>0</v>
      </c>
      <c r="AD11" s="358">
        <v>0</v>
      </c>
      <c r="AE11" s="358">
        <v>0</v>
      </c>
      <c r="AF11" s="358">
        <v>0</v>
      </c>
      <c r="AG11" s="358">
        <v>0</v>
      </c>
      <c r="AH11" s="358">
        <v>0</v>
      </c>
      <c r="AI11" s="358">
        <v>0</v>
      </c>
      <c r="AJ11" s="688"/>
      <c r="AK11" s="1010"/>
    </row>
    <row r="12" spans="1:39" ht="21.75" customHeight="1" hidden="1">
      <c r="A12" s="93"/>
      <c r="B12" s="89"/>
      <c r="C12" s="89"/>
      <c r="D12" s="320"/>
      <c r="E12" s="358"/>
      <c r="F12" s="282"/>
      <c r="G12" s="282"/>
      <c r="H12" s="282"/>
      <c r="I12" s="282"/>
      <c r="J12" s="282"/>
      <c r="K12" s="282"/>
      <c r="L12" s="688" t="e">
        <f t="shared" si="5"/>
        <v>#DIV/0!</v>
      </c>
      <c r="M12" s="358"/>
      <c r="N12" s="282"/>
      <c r="O12" s="282"/>
      <c r="P12" s="282"/>
      <c r="Q12" s="282"/>
      <c r="R12" s="282"/>
      <c r="S12" s="282"/>
      <c r="T12" s="688" t="e">
        <f t="shared" si="7"/>
        <v>#DIV/0!</v>
      </c>
      <c r="U12" s="358"/>
      <c r="V12" s="282"/>
      <c r="W12" s="282"/>
      <c r="X12" s="282"/>
      <c r="Y12" s="282"/>
      <c r="Z12" s="282"/>
      <c r="AA12" s="282"/>
      <c r="AB12" s="688" t="e">
        <f>+AA12/Z12</f>
        <v>#DIV/0!</v>
      </c>
      <c r="AC12" s="358"/>
      <c r="AD12" s="358"/>
      <c r="AE12" s="358"/>
      <c r="AF12" s="358"/>
      <c r="AG12" s="358"/>
      <c r="AH12" s="358"/>
      <c r="AI12" s="358"/>
      <c r="AJ12" s="688" t="e">
        <f>+AI12/AH12</f>
        <v>#DIV/0!</v>
      </c>
      <c r="AK12" s="1010"/>
      <c r="AM12" s="316" t="s">
        <v>244</v>
      </c>
    </row>
    <row r="13" spans="1:37" ht="21.75" customHeight="1">
      <c r="A13" s="93"/>
      <c r="B13" s="89" t="s">
        <v>37</v>
      </c>
      <c r="C13" s="1438" t="s">
        <v>285</v>
      </c>
      <c r="D13" s="1438"/>
      <c r="E13" s="358">
        <f aca="true" t="shared" si="8" ref="E13:K13">SUM(E14:E15)</f>
        <v>140000000</v>
      </c>
      <c r="F13" s="282">
        <f t="shared" si="8"/>
        <v>140000000</v>
      </c>
      <c r="G13" s="282">
        <f t="shared" si="8"/>
        <v>140000000</v>
      </c>
      <c r="H13" s="282">
        <f t="shared" si="8"/>
        <v>140000000</v>
      </c>
      <c r="I13" s="282">
        <f t="shared" si="8"/>
        <v>140000000</v>
      </c>
      <c r="J13" s="282">
        <f t="shared" si="8"/>
        <v>152448775</v>
      </c>
      <c r="K13" s="282">
        <f t="shared" si="8"/>
        <v>150482854</v>
      </c>
      <c r="L13" s="688">
        <f t="shared" si="5"/>
        <v>0.9871043830952397</v>
      </c>
      <c r="M13" s="358">
        <f aca="true" t="shared" si="9" ref="M13:S13">SUM(M14:M15)</f>
        <v>119054518</v>
      </c>
      <c r="N13" s="282">
        <f t="shared" si="9"/>
        <v>117064015</v>
      </c>
      <c r="O13" s="282">
        <f t="shared" si="9"/>
        <v>117219272</v>
      </c>
      <c r="P13" s="282">
        <f t="shared" si="9"/>
        <v>117219269</v>
      </c>
      <c r="Q13" s="859">
        <f t="shared" si="9"/>
        <v>117149266</v>
      </c>
      <c r="R13" s="859">
        <f t="shared" si="9"/>
        <v>132679144</v>
      </c>
      <c r="S13" s="859">
        <f t="shared" si="9"/>
        <v>130713223</v>
      </c>
      <c r="T13" s="688">
        <f t="shared" si="7"/>
        <v>0.9851828935525843</v>
      </c>
      <c r="U13" s="358">
        <f>SUM(U14:U15)</f>
        <v>20945482</v>
      </c>
      <c r="V13" s="282">
        <f aca="true" t="shared" si="10" ref="V13:AC13">SUM(V14:V15)</f>
        <v>22935985</v>
      </c>
      <c r="W13" s="282">
        <f t="shared" si="10"/>
        <v>22780728</v>
      </c>
      <c r="X13" s="282">
        <f t="shared" si="10"/>
        <v>22780731</v>
      </c>
      <c r="Y13" s="282">
        <f t="shared" si="10"/>
        <v>22850734</v>
      </c>
      <c r="Z13" s="282">
        <f t="shared" si="10"/>
        <v>19769631</v>
      </c>
      <c r="AA13" s="282">
        <f>SUM(AA14:AA15)</f>
        <v>19769631</v>
      </c>
      <c r="AB13" s="688">
        <f>+AA13/Z13</f>
        <v>1</v>
      </c>
      <c r="AC13" s="358">
        <f t="shared" si="10"/>
        <v>5610894</v>
      </c>
      <c r="AD13" s="358">
        <f aca="true" t="shared" si="11" ref="AD13:AI13">SUM(AD14:AD15)</f>
        <v>5610894</v>
      </c>
      <c r="AE13" s="358">
        <f t="shared" si="11"/>
        <v>5610894</v>
      </c>
      <c r="AF13" s="358">
        <f t="shared" si="11"/>
        <v>5610894</v>
      </c>
      <c r="AG13" s="358">
        <f t="shared" si="11"/>
        <v>5610894</v>
      </c>
      <c r="AH13" s="358">
        <f t="shared" si="11"/>
        <v>5610894</v>
      </c>
      <c r="AI13" s="358">
        <f t="shared" si="11"/>
        <v>5610894</v>
      </c>
      <c r="AJ13" s="688">
        <f>+AI13/AH13</f>
        <v>1</v>
      </c>
      <c r="AK13" s="1010"/>
    </row>
    <row r="14" spans="1:37" ht="21.75" customHeight="1">
      <c r="A14" s="93"/>
      <c r="B14" s="89"/>
      <c r="C14" s="89" t="s">
        <v>286</v>
      </c>
      <c r="D14" s="525" t="s">
        <v>291</v>
      </c>
      <c r="E14" s="358">
        <f>'3.sz.m Önk  bev.'!E14</f>
        <v>140000000</v>
      </c>
      <c r="F14" s="282">
        <f>'3.sz.m Önk  bev.'!F14</f>
        <v>140000000</v>
      </c>
      <c r="G14" s="282">
        <f>'3.sz.m Önk  bev.'!G14</f>
        <v>140000000</v>
      </c>
      <c r="H14" s="282">
        <f>'3.sz.m Önk  bev.'!H14</f>
        <v>140000000</v>
      </c>
      <c r="I14" s="282">
        <f>'3.sz.m Önk  bev.'!I14</f>
        <v>140000000</v>
      </c>
      <c r="J14" s="282">
        <f>'3.sz.m Önk  bev.'!J14</f>
        <v>152448775</v>
      </c>
      <c r="K14" s="282">
        <f>'3.sz.m Önk  bev.'!K14</f>
        <v>150482854</v>
      </c>
      <c r="L14" s="688">
        <f t="shared" si="5"/>
        <v>0.9871043830952397</v>
      </c>
      <c r="M14" s="358">
        <f>'3.sz.m Önk  bev.'!M14</f>
        <v>119054518</v>
      </c>
      <c r="N14" s="282">
        <f>'3.sz.m Önk  bev.'!N14</f>
        <v>117064015</v>
      </c>
      <c r="O14" s="282">
        <f>'3.sz.m Önk  bev.'!O14</f>
        <v>117219272</v>
      </c>
      <c r="P14" s="282">
        <f>'3.sz.m Önk  bev.'!P14</f>
        <v>117219269</v>
      </c>
      <c r="Q14" s="282">
        <f>'3.sz.m Önk  bev.'!Q14</f>
        <v>117149266</v>
      </c>
      <c r="R14" s="282">
        <f>'3.sz.m Önk  bev.'!R14</f>
        <v>132679144</v>
      </c>
      <c r="S14" s="282">
        <f>'3.sz.m Önk  bev.'!S14</f>
        <v>130713223</v>
      </c>
      <c r="T14" s="688">
        <f t="shared" si="7"/>
        <v>0.9851828935525843</v>
      </c>
      <c r="U14" s="358">
        <f>'3.sz.m Önk  bev.'!U14</f>
        <v>20945482</v>
      </c>
      <c r="V14" s="282">
        <f>'3.sz.m Önk  bev.'!V14</f>
        <v>22935985</v>
      </c>
      <c r="W14" s="282">
        <f>'3.sz.m Önk  bev.'!W14</f>
        <v>22780728</v>
      </c>
      <c r="X14" s="282">
        <f>'3.sz.m Önk  bev.'!X14</f>
        <v>22780731</v>
      </c>
      <c r="Y14" s="282">
        <f>'3.sz.m Önk  bev.'!Y14</f>
        <v>22850734</v>
      </c>
      <c r="Z14" s="282">
        <f>'3.sz.m Önk  bev.'!Z14</f>
        <v>19769631</v>
      </c>
      <c r="AA14" s="282">
        <f>'3.sz.m Önk  bev.'!AA14</f>
        <v>19769631</v>
      </c>
      <c r="AB14" s="688">
        <f>+AA14/Z14</f>
        <v>1</v>
      </c>
      <c r="AC14" s="358">
        <v>5610894</v>
      </c>
      <c r="AD14" s="358">
        <v>5610894</v>
      </c>
      <c r="AE14" s="358">
        <v>5610894</v>
      </c>
      <c r="AF14" s="358">
        <v>5610894</v>
      </c>
      <c r="AG14" s="358">
        <v>5610894</v>
      </c>
      <c r="AH14" s="358">
        <v>5610894</v>
      </c>
      <c r="AI14" s="358">
        <v>5610894</v>
      </c>
      <c r="AJ14" s="688">
        <f>+AI14/AH14</f>
        <v>1</v>
      </c>
      <c r="AK14" s="1010"/>
    </row>
    <row r="15" spans="1:37" ht="21.75" customHeight="1">
      <c r="A15" s="93"/>
      <c r="B15" s="89"/>
      <c r="C15" s="89" t="s">
        <v>287</v>
      </c>
      <c r="D15" s="525" t="s">
        <v>292</v>
      </c>
      <c r="E15" s="358">
        <f>'3.sz.m Önk  bev.'!E15</f>
        <v>0</v>
      </c>
      <c r="F15" s="282">
        <f>'3.sz.m Önk  bev.'!F15</f>
        <v>0</v>
      </c>
      <c r="G15" s="282">
        <f>'3.sz.m Önk  bev.'!G15</f>
        <v>0</v>
      </c>
      <c r="H15" s="282">
        <f>'3.sz.m Önk  bev.'!H15</f>
        <v>0</v>
      </c>
      <c r="I15" s="282">
        <f>'3.sz.m Önk  bev.'!I15</f>
        <v>0</v>
      </c>
      <c r="J15" s="282">
        <f>'3.sz.m Önk  bev.'!J15</f>
        <v>0</v>
      </c>
      <c r="K15" s="282">
        <f>'3.sz.m Önk  bev.'!K15</f>
        <v>0</v>
      </c>
      <c r="L15" s="688"/>
      <c r="M15" s="358">
        <f>'3.sz.m Önk  bev.'!M15</f>
        <v>0</v>
      </c>
      <c r="N15" s="282">
        <f>'3.sz.m Önk  bev.'!N15</f>
        <v>0</v>
      </c>
      <c r="O15" s="282">
        <f>'3.sz.m Önk  bev.'!O15</f>
        <v>0</v>
      </c>
      <c r="P15" s="282">
        <f>'3.sz.m Önk  bev.'!P15</f>
        <v>0</v>
      </c>
      <c r="Q15" s="282">
        <f>'3.sz.m Önk  bev.'!Q15</f>
        <v>0</v>
      </c>
      <c r="R15" s="282">
        <f>'3.sz.m Önk  bev.'!R15</f>
        <v>0</v>
      </c>
      <c r="S15" s="282">
        <f>'3.sz.m Önk  bev.'!S15</f>
        <v>0</v>
      </c>
      <c r="T15" s="688"/>
      <c r="U15" s="358">
        <v>0</v>
      </c>
      <c r="V15" s="282"/>
      <c r="W15" s="282"/>
      <c r="X15" s="282"/>
      <c r="Y15" s="282"/>
      <c r="Z15" s="282"/>
      <c r="AA15" s="282"/>
      <c r="AB15" s="688"/>
      <c r="AC15" s="358">
        <v>0</v>
      </c>
      <c r="AD15" s="358">
        <v>0</v>
      </c>
      <c r="AE15" s="358">
        <v>0</v>
      </c>
      <c r="AF15" s="358">
        <v>0</v>
      </c>
      <c r="AG15" s="358">
        <v>0</v>
      </c>
      <c r="AH15" s="358">
        <v>0</v>
      </c>
      <c r="AI15" s="358">
        <v>0</v>
      </c>
      <c r="AJ15" s="688"/>
      <c r="AK15" s="1010"/>
    </row>
    <row r="16" spans="1:37" ht="21.75" customHeight="1">
      <c r="A16" s="93"/>
      <c r="B16" s="89" t="s">
        <v>113</v>
      </c>
      <c r="C16" s="1438" t="s">
        <v>293</v>
      </c>
      <c r="D16" s="1438"/>
      <c r="E16" s="358">
        <f>'3.sz.m Önk  bev.'!E16</f>
        <v>13200000</v>
      </c>
      <c r="F16" s="282">
        <f>'3.sz.m Önk  bev.'!F16</f>
        <v>13200000</v>
      </c>
      <c r="G16" s="282">
        <f>'3.sz.m Önk  bev.'!G16</f>
        <v>13200000</v>
      </c>
      <c r="H16" s="282">
        <f>'3.sz.m Önk  bev.'!H16</f>
        <v>13200000</v>
      </c>
      <c r="I16" s="282">
        <f>'3.sz.m Önk  bev.'!I16</f>
        <v>13200000</v>
      </c>
      <c r="J16" s="282">
        <f>'3.sz.m Önk  bev.'!J16</f>
        <v>14013516</v>
      </c>
      <c r="K16" s="282">
        <f>'3.sz.m Önk  bev.'!K16</f>
        <v>13571388</v>
      </c>
      <c r="L16" s="689">
        <f t="shared" si="5"/>
        <v>0.9684498879510324</v>
      </c>
      <c r="M16" s="358">
        <f>'3.sz.m Önk  bev.'!M16</f>
        <v>13200000</v>
      </c>
      <c r="N16" s="282">
        <f>'3.sz.m Önk  bev.'!N16</f>
        <v>13200000</v>
      </c>
      <c r="O16" s="282">
        <f>'3.sz.m Önk  bev.'!O16</f>
        <v>13200000</v>
      </c>
      <c r="P16" s="282">
        <f>'3.sz.m Önk  bev.'!P16</f>
        <v>13200000</v>
      </c>
      <c r="Q16" s="282">
        <f>'3.sz.m Önk  bev.'!Q16</f>
        <v>13200000</v>
      </c>
      <c r="R16" s="282">
        <f>'3.sz.m Önk  bev.'!R16</f>
        <v>14013516</v>
      </c>
      <c r="S16" s="282">
        <f>'3.sz.m Önk  bev.'!S16</f>
        <v>13571388</v>
      </c>
      <c r="T16" s="689">
        <f t="shared" si="7"/>
        <v>0.9684498879510324</v>
      </c>
      <c r="U16" s="358">
        <v>0</v>
      </c>
      <c r="V16" s="282"/>
      <c r="W16" s="282"/>
      <c r="X16" s="282"/>
      <c r="Y16" s="282"/>
      <c r="Z16" s="282"/>
      <c r="AA16" s="282"/>
      <c r="AB16" s="689"/>
      <c r="AC16" s="358">
        <v>0</v>
      </c>
      <c r="AD16" s="358">
        <v>0</v>
      </c>
      <c r="AE16" s="358">
        <v>0</v>
      </c>
      <c r="AF16" s="358">
        <v>0</v>
      </c>
      <c r="AG16" s="358">
        <v>0</v>
      </c>
      <c r="AH16" s="358">
        <v>0</v>
      </c>
      <c r="AI16" s="358">
        <v>0</v>
      </c>
      <c r="AJ16" s="689"/>
      <c r="AK16" s="1010"/>
    </row>
    <row r="17" spans="1:37" ht="21.75" customHeight="1">
      <c r="A17" s="93"/>
      <c r="B17" s="89" t="s">
        <v>49</v>
      </c>
      <c r="C17" s="1441" t="s">
        <v>294</v>
      </c>
      <c r="D17" s="1442"/>
      <c r="E17" s="358">
        <f aca="true" t="shared" si="12" ref="E17:K17">SUM(E18:E19)</f>
        <v>0</v>
      </c>
      <c r="F17" s="282">
        <f t="shared" si="12"/>
        <v>0</v>
      </c>
      <c r="G17" s="282">
        <f t="shared" si="12"/>
        <v>0</v>
      </c>
      <c r="H17" s="282">
        <f t="shared" si="12"/>
        <v>0</v>
      </c>
      <c r="I17" s="282">
        <f t="shared" si="12"/>
        <v>0</v>
      </c>
      <c r="J17" s="282">
        <f t="shared" si="12"/>
        <v>0</v>
      </c>
      <c r="K17" s="282">
        <f t="shared" si="12"/>
        <v>0</v>
      </c>
      <c r="L17" s="689"/>
      <c r="M17" s="358">
        <f aca="true" t="shared" si="13" ref="M17:S17">SUM(M18:M19)</f>
        <v>0</v>
      </c>
      <c r="N17" s="282">
        <f t="shared" si="13"/>
        <v>0</v>
      </c>
      <c r="O17" s="282">
        <f t="shared" si="13"/>
        <v>0</v>
      </c>
      <c r="P17" s="282">
        <f t="shared" si="13"/>
        <v>0</v>
      </c>
      <c r="Q17" s="282">
        <f t="shared" si="13"/>
        <v>0</v>
      </c>
      <c r="R17" s="282">
        <f t="shared" si="13"/>
        <v>0</v>
      </c>
      <c r="S17" s="282">
        <f t="shared" si="13"/>
        <v>0</v>
      </c>
      <c r="T17" s="689"/>
      <c r="U17" s="358">
        <v>0</v>
      </c>
      <c r="V17" s="282"/>
      <c r="W17" s="282"/>
      <c r="X17" s="282"/>
      <c r="Y17" s="282"/>
      <c r="Z17" s="282"/>
      <c r="AA17" s="282"/>
      <c r="AB17" s="689"/>
      <c r="AC17" s="358">
        <v>0</v>
      </c>
      <c r="AD17" s="358">
        <v>0</v>
      </c>
      <c r="AE17" s="358">
        <v>0</v>
      </c>
      <c r="AF17" s="358">
        <v>0</v>
      </c>
      <c r="AG17" s="358">
        <v>0</v>
      </c>
      <c r="AH17" s="358">
        <v>0</v>
      </c>
      <c r="AI17" s="358">
        <v>0</v>
      </c>
      <c r="AJ17" s="689"/>
      <c r="AK17" s="1010"/>
    </row>
    <row r="18" spans="1:37" ht="21.75" customHeight="1">
      <c r="A18" s="93"/>
      <c r="B18" s="89"/>
      <c r="C18" s="89" t="s">
        <v>295</v>
      </c>
      <c r="D18" s="525" t="s">
        <v>297</v>
      </c>
      <c r="E18" s="358">
        <f>'3.sz.m Önk  bev.'!E18</f>
        <v>0</v>
      </c>
      <c r="F18" s="282">
        <f>'3.sz.m Önk  bev.'!F18</f>
        <v>0</v>
      </c>
      <c r="G18" s="282">
        <f>'3.sz.m Önk  bev.'!G18</f>
        <v>0</v>
      </c>
      <c r="H18" s="282">
        <f>'3.sz.m Önk  bev.'!H18</f>
        <v>0</v>
      </c>
      <c r="I18" s="282">
        <f>'3.sz.m Önk  bev.'!I18</f>
        <v>0</v>
      </c>
      <c r="J18" s="282">
        <f>'3.sz.m Önk  bev.'!J18</f>
        <v>0</v>
      </c>
      <c r="K18" s="282">
        <f>'3.sz.m Önk  bev.'!K18</f>
        <v>0</v>
      </c>
      <c r="L18" s="689"/>
      <c r="M18" s="358">
        <f>'3.sz.m Önk  bev.'!M18</f>
        <v>0</v>
      </c>
      <c r="N18" s="282">
        <f>'3.sz.m Önk  bev.'!N18</f>
        <v>0</v>
      </c>
      <c r="O18" s="282">
        <f>'3.sz.m Önk  bev.'!O18</f>
        <v>0</v>
      </c>
      <c r="P18" s="282">
        <f>'3.sz.m Önk  bev.'!P18</f>
        <v>0</v>
      </c>
      <c r="Q18" s="282">
        <f>'3.sz.m Önk  bev.'!Q18</f>
        <v>0</v>
      </c>
      <c r="R18" s="282">
        <f>'3.sz.m Önk  bev.'!R18</f>
        <v>0</v>
      </c>
      <c r="S18" s="282">
        <f>'3.sz.m Önk  bev.'!S18</f>
        <v>0</v>
      </c>
      <c r="T18" s="689"/>
      <c r="U18" s="358">
        <v>0</v>
      </c>
      <c r="V18" s="282"/>
      <c r="W18" s="282"/>
      <c r="X18" s="282"/>
      <c r="Y18" s="282"/>
      <c r="Z18" s="282"/>
      <c r="AA18" s="282"/>
      <c r="AB18" s="689"/>
      <c r="AC18" s="358">
        <v>0</v>
      </c>
      <c r="AD18" s="358">
        <v>0</v>
      </c>
      <c r="AE18" s="358">
        <v>0</v>
      </c>
      <c r="AF18" s="358">
        <v>0</v>
      </c>
      <c r="AG18" s="358">
        <v>0</v>
      </c>
      <c r="AH18" s="358">
        <v>0</v>
      </c>
      <c r="AI18" s="358">
        <v>0</v>
      </c>
      <c r="AJ18" s="689"/>
      <c r="AK18" s="1010"/>
    </row>
    <row r="19" spans="1:37" ht="21.75" customHeight="1" hidden="1">
      <c r="A19" s="93"/>
      <c r="B19" s="89"/>
      <c r="C19" s="89" t="s">
        <v>296</v>
      </c>
      <c r="D19" s="525" t="s">
        <v>270</v>
      </c>
      <c r="E19" s="358">
        <f>'3.sz.m Önk  bev.'!E19</f>
        <v>0</v>
      </c>
      <c r="F19" s="282">
        <f>'3.sz.m Önk  bev.'!F19</f>
        <v>0</v>
      </c>
      <c r="G19" s="282">
        <f>'3.sz.m Önk  bev.'!G19</f>
        <v>0</v>
      </c>
      <c r="H19" s="282">
        <f>'3.sz.m Önk  bev.'!H19</f>
        <v>0</v>
      </c>
      <c r="I19" s="282">
        <f>'3.sz.m Önk  bev.'!I19</f>
        <v>0</v>
      </c>
      <c r="J19" s="282">
        <f>'3.sz.m Önk  bev.'!J19</f>
        <v>0</v>
      </c>
      <c r="K19" s="282">
        <f>'3.sz.m Önk  bev.'!K19</f>
        <v>0</v>
      </c>
      <c r="L19" s="689" t="e">
        <f t="shared" si="5"/>
        <v>#DIV/0!</v>
      </c>
      <c r="M19" s="358">
        <f>'3.sz.m Önk  bev.'!M19</f>
        <v>0</v>
      </c>
      <c r="N19" s="282">
        <f>'3.sz.m Önk  bev.'!N19</f>
        <v>0</v>
      </c>
      <c r="O19" s="282">
        <f>'3.sz.m Önk  bev.'!O19</f>
        <v>0</v>
      </c>
      <c r="P19" s="282">
        <f>'3.sz.m Önk  bev.'!P19</f>
        <v>0</v>
      </c>
      <c r="Q19" s="282">
        <f>'3.sz.m Önk  bev.'!Q19</f>
        <v>0</v>
      </c>
      <c r="R19" s="282">
        <f>'3.sz.m Önk  bev.'!R19</f>
        <v>0</v>
      </c>
      <c r="S19" s="282">
        <f>'3.sz.m Önk  bev.'!S19</f>
        <v>0</v>
      </c>
      <c r="T19" s="689" t="e">
        <f t="shared" si="7"/>
        <v>#DIV/0!</v>
      </c>
      <c r="U19" s="358">
        <v>0</v>
      </c>
      <c r="V19" s="282"/>
      <c r="W19" s="282"/>
      <c r="X19" s="282"/>
      <c r="Y19" s="282"/>
      <c r="Z19" s="282"/>
      <c r="AA19" s="282"/>
      <c r="AB19" s="689" t="e">
        <f>+AA19/Z19</f>
        <v>#DIV/0!</v>
      </c>
      <c r="AC19" s="358">
        <v>0</v>
      </c>
      <c r="AD19" s="358">
        <v>0</v>
      </c>
      <c r="AE19" s="358">
        <v>0</v>
      </c>
      <c r="AF19" s="358">
        <v>0</v>
      </c>
      <c r="AG19" s="358">
        <v>0</v>
      </c>
      <c r="AH19" s="358">
        <v>0</v>
      </c>
      <c r="AI19" s="358">
        <v>0</v>
      </c>
      <c r="AJ19" s="689"/>
      <c r="AK19" s="1010"/>
    </row>
    <row r="20" spans="1:37" ht="21.75" customHeight="1" thickBot="1">
      <c r="A20" s="428"/>
      <c r="B20" s="578" t="s">
        <v>50</v>
      </c>
      <c r="C20" s="1443" t="s">
        <v>298</v>
      </c>
      <c r="D20" s="1444"/>
      <c r="E20" s="358">
        <f>'3.sz.m Önk  bev.'!E20</f>
        <v>1060000</v>
      </c>
      <c r="F20" s="282">
        <f>'3.sz.m Önk  bev.'!F20</f>
        <v>1060000</v>
      </c>
      <c r="G20" s="282">
        <f>'3.sz.m Önk  bev.'!G20</f>
        <v>3781890</v>
      </c>
      <c r="H20" s="282">
        <f>'3.sz.m Önk  bev.'!H20</f>
        <v>3781890</v>
      </c>
      <c r="I20" s="282">
        <f>'3.sz.m Önk  bev.'!I20</f>
        <v>4292890</v>
      </c>
      <c r="J20" s="282">
        <f>'3.sz.m Önk  bev.'!J20</f>
        <v>3546220</v>
      </c>
      <c r="K20" s="282">
        <f>'3.sz.m Önk  bev.'!K20</f>
        <v>1025093</v>
      </c>
      <c r="L20" s="690">
        <f t="shared" si="5"/>
        <v>0.2890663861802144</v>
      </c>
      <c r="M20" s="358">
        <f>'3.sz.m Önk  bev.'!M20</f>
        <v>1060000</v>
      </c>
      <c r="N20" s="282">
        <f>'3.sz.m Önk  bev.'!N20</f>
        <v>1060000</v>
      </c>
      <c r="O20" s="282">
        <f>'3.sz.m Önk  bev.'!O20</f>
        <v>3781890</v>
      </c>
      <c r="P20" s="282">
        <f>'3.sz.m Önk  bev.'!P20</f>
        <v>3781890</v>
      </c>
      <c r="Q20" s="282">
        <f>'3.sz.m Önk  bev.'!Q20</f>
        <v>4292890</v>
      </c>
      <c r="R20" s="282">
        <f>'3.sz.m Önk  bev.'!R20</f>
        <v>3546220</v>
      </c>
      <c r="S20" s="282">
        <f>'3.sz.m Önk  bev.'!S20</f>
        <v>1025093</v>
      </c>
      <c r="T20" s="690">
        <f t="shared" si="7"/>
        <v>0.2890663861802144</v>
      </c>
      <c r="U20" s="358">
        <v>0</v>
      </c>
      <c r="V20" s="282"/>
      <c r="W20" s="282"/>
      <c r="X20" s="282"/>
      <c r="Y20" s="282"/>
      <c r="Z20" s="282"/>
      <c r="AA20" s="282"/>
      <c r="AB20" s="690"/>
      <c r="AC20" s="358">
        <v>0</v>
      </c>
      <c r="AD20" s="358">
        <v>0</v>
      </c>
      <c r="AE20" s="358">
        <v>0</v>
      </c>
      <c r="AF20" s="358">
        <v>0</v>
      </c>
      <c r="AG20" s="358">
        <v>0</v>
      </c>
      <c r="AH20" s="358">
        <v>0</v>
      </c>
      <c r="AI20" s="358">
        <v>0</v>
      </c>
      <c r="AJ20" s="690"/>
      <c r="AK20" s="1010"/>
    </row>
    <row r="21" spans="1:37" ht="21.75" customHeight="1" thickBot="1">
      <c r="A21" s="96" t="s">
        <v>299</v>
      </c>
      <c r="B21" s="1433" t="s">
        <v>300</v>
      </c>
      <c r="C21" s="1433"/>
      <c r="D21" s="1433"/>
      <c r="E21" s="356">
        <f>E22+E23+E25+E29+E30+E31+E32+E24</f>
        <v>52059053</v>
      </c>
      <c r="F21" s="356">
        <f>F22+F23+F25+F29+F30+F31+F32+F24</f>
        <v>52124693</v>
      </c>
      <c r="G21" s="356">
        <f>G22+G23+G25+G29+G30+G31+G32+G24</f>
        <v>54248868</v>
      </c>
      <c r="H21" s="356">
        <f>H22+H23+H25+H29+H30+H31+H32+H24</f>
        <v>54248868</v>
      </c>
      <c r="I21" s="356">
        <f>I22+I23+I25+I29+I30+I31+I32+I24+I33</f>
        <v>56029263</v>
      </c>
      <c r="J21" s="356">
        <f>J22+J23+J25+J29+J30+J31+J32+J24+J33</f>
        <v>56177673</v>
      </c>
      <c r="K21" s="356">
        <f>K22+K23+K25+K29+K30+K31+K32+K24+K33</f>
        <v>53684153</v>
      </c>
      <c r="L21" s="1120">
        <f t="shared" si="5"/>
        <v>0.9556136830373875</v>
      </c>
      <c r="M21" s="356">
        <f>M22+M23+M25+M29+M30+M31+M32</f>
        <v>52059053</v>
      </c>
      <c r="N21" s="280">
        <f>N22+N23+N25+N29+N30+N31+N32</f>
        <v>52124693</v>
      </c>
      <c r="O21" s="356">
        <f>O22+O23+O25+O29+O30+O31+O32+O24</f>
        <v>54248868</v>
      </c>
      <c r="P21" s="356">
        <f>P22+P23+P25+P29+P30+P31+P32+P24</f>
        <v>54248868</v>
      </c>
      <c r="Q21" s="356">
        <f>Q22+Q23+Q25+Q29+Q30+Q31+Q32+Q24+Q33</f>
        <v>56029263</v>
      </c>
      <c r="R21" s="910">
        <f>+R22+R23+R24+R25+R29+R31+R32+R33</f>
        <v>55796673</v>
      </c>
      <c r="S21" s="910">
        <f>+S22+S23+S24+S25+S29+S31+S32+S33</f>
        <v>53303153</v>
      </c>
      <c r="T21" s="1120">
        <f t="shared" si="7"/>
        <v>0.9553105971031642</v>
      </c>
      <c r="U21" s="356">
        <f aca="true" t="shared" si="14" ref="U21:Z21">U22+U23+U25+U29+U30+U31+U32</f>
        <v>0</v>
      </c>
      <c r="V21" s="280">
        <f t="shared" si="14"/>
        <v>0</v>
      </c>
      <c r="W21" s="280">
        <f t="shared" si="14"/>
        <v>0</v>
      </c>
      <c r="X21" s="280">
        <f t="shared" si="14"/>
        <v>0</v>
      </c>
      <c r="Y21" s="280">
        <f t="shared" si="14"/>
        <v>0</v>
      </c>
      <c r="Z21" s="280">
        <f t="shared" si="14"/>
        <v>381000</v>
      </c>
      <c r="AA21" s="280">
        <f>AA22+AA23+AA25+AA29+AA30+AA31+AA32</f>
        <v>381000</v>
      </c>
      <c r="AB21" s="1120">
        <f>+AA21/Z21</f>
        <v>1</v>
      </c>
      <c r="AC21" s="356">
        <f aca="true" t="shared" si="15" ref="AC21:AH21">AC22+AC23+AC25+AC29+AC30+AC31+AC32</f>
        <v>0</v>
      </c>
      <c r="AD21" s="356">
        <f t="shared" si="15"/>
        <v>0</v>
      </c>
      <c r="AE21" s="356">
        <f t="shared" si="15"/>
        <v>0</v>
      </c>
      <c r="AF21" s="356">
        <f t="shared" si="15"/>
        <v>0</v>
      </c>
      <c r="AG21" s="356">
        <f t="shared" si="15"/>
        <v>0</v>
      </c>
      <c r="AH21" s="356">
        <f t="shared" si="15"/>
        <v>0</v>
      </c>
      <c r="AI21" s="356">
        <f>AI22+AI23+AI25+AI29+AI30+AI31+AI32</f>
        <v>0</v>
      </c>
      <c r="AJ21" s="1120"/>
      <c r="AK21" s="1010"/>
    </row>
    <row r="22" spans="1:37" ht="21.75" customHeight="1">
      <c r="A22" s="94"/>
      <c r="B22" s="95" t="s">
        <v>39</v>
      </c>
      <c r="C22" s="1448" t="s">
        <v>301</v>
      </c>
      <c r="D22" s="1448"/>
      <c r="E22" s="281">
        <f>'3.sz.m Önk  bev.'!E22+'5.1 sz. m Köz Hiv'!D10+'5.2 sz. m ÁMK'!D10</f>
        <v>14220320</v>
      </c>
      <c r="F22" s="281">
        <f>'3.sz.m Önk  bev.'!F22+'5.1 sz. m Köz Hiv'!E10+'5.2 sz. m ÁMK'!E10</f>
        <v>14220320</v>
      </c>
      <c r="G22" s="281">
        <f>'3.sz.m Önk  bev.'!G22+'5.1 sz. m Köz Hiv'!F10+'5.2 sz. m ÁMK'!F10</f>
        <v>14221422</v>
      </c>
      <c r="H22" s="281">
        <f>'3.sz.m Önk  bev.'!H22+'5.1 sz. m Köz Hiv'!G10+'5.2 sz. m ÁMK'!G10</f>
        <v>14221422</v>
      </c>
      <c r="I22" s="281">
        <f>'3.sz.m Önk  bev.'!I22+'5.1 sz. m Köz Hiv'!H10+'5.2 sz. m ÁMK'!H10</f>
        <v>14566968</v>
      </c>
      <c r="J22" s="281">
        <f>'3.sz.m Önk  bev.'!J22+'5.1 sz. m Köz Hiv'!I10+'5.2 sz. m ÁMK'!I10</f>
        <v>15865545</v>
      </c>
      <c r="K22" s="281">
        <f>'3.sz.m Önk  bev.'!K22+'5.1 sz. m Köz Hiv'!J10+'5.2 sz. m ÁMK'!J10</f>
        <v>15617708</v>
      </c>
      <c r="L22" s="1121">
        <f t="shared" si="5"/>
        <v>0.98437891670283</v>
      </c>
      <c r="M22" s="357">
        <f>'3.sz.m Önk  bev.'!M22+'5.2 sz. m ÁMK'!L9</f>
        <v>33456499</v>
      </c>
      <c r="N22" s="281">
        <f>'3.sz.m Önk  bev.'!N22+'5.2 sz. m ÁMK'!M9</f>
        <v>33456499</v>
      </c>
      <c r="O22" s="281">
        <f>'3.sz.m Önk  bev.'!O22+'5.1 sz. m Köz Hiv'!N10+'5.2 sz. m ÁMK'!N10</f>
        <v>14221422</v>
      </c>
      <c r="P22" s="281">
        <f>'3.sz.m Önk  bev.'!P22+'5.1 sz. m Köz Hiv'!O10+'5.2 sz. m ÁMK'!O10</f>
        <v>14221422</v>
      </c>
      <c r="Q22" s="281">
        <f>'3.sz.m Önk  bev.'!Q22+'5.1 sz. m Köz Hiv'!P10+'5.2 sz. m ÁMK'!P10</f>
        <v>14566968</v>
      </c>
      <c r="R22" s="281">
        <f>'3.sz.m Önk  bev.'!R22+'5.1 sz. m Köz Hiv'!Q10+'5.2 sz. m ÁMK'!Q10</f>
        <v>15565545</v>
      </c>
      <c r="S22" s="281">
        <f>'3.sz.m Önk  bev.'!S22+'5.1 sz. m Köz Hiv'!R10+'5.2 sz. m ÁMK'!R10</f>
        <v>15317708</v>
      </c>
      <c r="T22" s="1121">
        <f t="shared" si="7"/>
        <v>0.9840778462944921</v>
      </c>
      <c r="U22" s="357">
        <v>0</v>
      </c>
      <c r="V22" s="281"/>
      <c r="W22" s="281"/>
      <c r="X22" s="281"/>
      <c r="Y22" s="281"/>
      <c r="Z22" s="281">
        <f>+'3.sz.m Önk  bev.'!Z22</f>
        <v>300000</v>
      </c>
      <c r="AA22" s="281">
        <f>+'3.sz.m Önk  bev.'!AA22</f>
        <v>300000</v>
      </c>
      <c r="AB22" s="1121">
        <f>+AA22/Z22</f>
        <v>1</v>
      </c>
      <c r="AC22" s="357">
        <v>0</v>
      </c>
      <c r="AD22" s="357">
        <v>0</v>
      </c>
      <c r="AE22" s="357">
        <v>0</v>
      </c>
      <c r="AF22" s="357">
        <v>0</v>
      </c>
      <c r="AG22" s="357">
        <v>0</v>
      </c>
      <c r="AH22" s="357">
        <v>0</v>
      </c>
      <c r="AI22" s="357">
        <v>0</v>
      </c>
      <c r="AJ22" s="1121"/>
      <c r="AK22" s="1010"/>
    </row>
    <row r="23" spans="1:37" ht="21.75" customHeight="1">
      <c r="A23" s="93"/>
      <c r="B23" s="89" t="s">
        <v>40</v>
      </c>
      <c r="C23" s="1440" t="s">
        <v>302</v>
      </c>
      <c r="D23" s="1440"/>
      <c r="E23" s="281">
        <f>'3.sz.m Önk  bev.'!E23+'5.2 sz. m ÁMK'!D11</f>
        <v>11283000</v>
      </c>
      <c r="F23" s="281">
        <f>'3.sz.m Önk  bev.'!F23+'5.2 sz. m ÁMK'!E11</f>
        <v>11283000</v>
      </c>
      <c r="G23" s="281">
        <f>'3.sz.m Önk  bev.'!G23+'5.2 sz. m ÁMK'!F11+'5.1 sz. m Köz Hiv'!F11</f>
        <v>11299800</v>
      </c>
      <c r="H23" s="281">
        <f>'3.sz.m Önk  bev.'!H23+'5.2 sz. m ÁMK'!G11+'5.1 sz. m Köz Hiv'!G11</f>
        <v>11299800</v>
      </c>
      <c r="I23" s="281">
        <f>'3.sz.m Önk  bev.'!I23+'5.2 sz. m ÁMK'!H11+'5.1 sz. m Köz Hiv'!H11</f>
        <v>11368932</v>
      </c>
      <c r="J23" s="281">
        <f>'3.sz.m Önk  bev.'!J23+'5.2 sz. m ÁMK'!I11+'5.1 sz. m Köz Hiv'!I11</f>
        <v>8618844</v>
      </c>
      <c r="K23" s="281">
        <f>'3.sz.m Önk  bev.'!K23+'5.2 sz. m ÁMK'!J11+'5.1 sz. m Köz Hiv'!J11</f>
        <v>7273537</v>
      </c>
      <c r="L23" s="1121">
        <f t="shared" si="5"/>
        <v>0.8439109699630252</v>
      </c>
      <c r="M23" s="359">
        <f>'3.sz.m Önk  bev.'!M23</f>
        <v>5783000</v>
      </c>
      <c r="N23" s="283">
        <f>'3.sz.m Önk  bev.'!N23</f>
        <v>5783000</v>
      </c>
      <c r="O23" s="281">
        <f>'3.sz.m Önk  bev.'!O23+'5.2 sz. m ÁMK'!N11+'5.1 sz. m Köz Hiv'!N11</f>
        <v>11299800</v>
      </c>
      <c r="P23" s="281">
        <f>'3.sz.m Önk  bev.'!P23+'5.2 sz. m ÁMK'!O11+'5.1 sz. m Köz Hiv'!O11</f>
        <v>11299800</v>
      </c>
      <c r="Q23" s="281">
        <f>'3.sz.m Önk  bev.'!Q23+'5.2 sz. m ÁMK'!P11+'5.1 sz. m Köz Hiv'!P11</f>
        <v>11368932</v>
      </c>
      <c r="R23" s="281">
        <f>'3.sz.m Önk  bev.'!R23+'5.2 sz. m ÁMK'!Q11+'5.1 sz. m Köz Hiv'!Q11</f>
        <v>8618844</v>
      </c>
      <c r="S23" s="281">
        <f>'3.sz.m Önk  bev.'!S23+'5.2 sz. m ÁMK'!R11+'5.1 sz. m Köz Hiv'!R11</f>
        <v>7273537</v>
      </c>
      <c r="T23" s="1121">
        <f t="shared" si="7"/>
        <v>0.8439109699630252</v>
      </c>
      <c r="U23" s="359">
        <v>0</v>
      </c>
      <c r="V23" s="283"/>
      <c r="W23" s="283"/>
      <c r="X23" s="283"/>
      <c r="Y23" s="283"/>
      <c r="Z23" s="283"/>
      <c r="AA23" s="283"/>
      <c r="AB23" s="1121"/>
      <c r="AC23" s="359">
        <v>0</v>
      </c>
      <c r="AD23" s="359">
        <v>0</v>
      </c>
      <c r="AE23" s="359">
        <v>0</v>
      </c>
      <c r="AF23" s="359">
        <v>0</v>
      </c>
      <c r="AG23" s="359">
        <v>0</v>
      </c>
      <c r="AH23" s="359">
        <v>0</v>
      </c>
      <c r="AI23" s="359">
        <v>0</v>
      </c>
      <c r="AJ23" s="1121"/>
      <c r="AK23" s="1010"/>
    </row>
    <row r="24" spans="1:37" ht="21.75" customHeight="1">
      <c r="A24" s="93"/>
      <c r="B24" s="89" t="s">
        <v>480</v>
      </c>
      <c r="C24" s="1440" t="s">
        <v>476</v>
      </c>
      <c r="D24" s="1445"/>
      <c r="E24" s="281">
        <f>'5.2 sz. m ÁMK'!D13</f>
        <v>5151069</v>
      </c>
      <c r="F24" s="281">
        <f>'5.2 sz. m ÁMK'!E13</f>
        <v>5151069</v>
      </c>
      <c r="G24" s="281">
        <f>'5.2 sz. m ÁMK'!F13</f>
        <v>5151069</v>
      </c>
      <c r="H24" s="281">
        <f>'5.2 sz. m ÁMK'!G13</f>
        <v>5151069</v>
      </c>
      <c r="I24" s="281">
        <f>'5.2 sz. m ÁMK'!H13</f>
        <v>5151069</v>
      </c>
      <c r="J24" s="281">
        <f>'5.2 sz. m ÁMK'!I13</f>
        <v>5663190</v>
      </c>
      <c r="K24" s="281">
        <f>'5.2 sz. m ÁMK'!J13</f>
        <v>5604082</v>
      </c>
      <c r="L24" s="1121">
        <f t="shared" si="5"/>
        <v>0.9895627729248003</v>
      </c>
      <c r="M24" s="359"/>
      <c r="N24" s="283"/>
      <c r="O24" s="281">
        <f>'5.2 sz. m ÁMK'!N13</f>
        <v>5151069</v>
      </c>
      <c r="P24" s="281">
        <f>'5.2 sz. m ÁMK'!O13</f>
        <v>5151069</v>
      </c>
      <c r="Q24" s="281">
        <f>'5.2 sz. m ÁMK'!P13</f>
        <v>5151069</v>
      </c>
      <c r="R24" s="281">
        <f>'5.2 sz. m ÁMK'!Q13</f>
        <v>5663190</v>
      </c>
      <c r="S24" s="281">
        <f>'5.2 sz. m ÁMK'!R13</f>
        <v>5604082</v>
      </c>
      <c r="T24" s="1121">
        <f t="shared" si="7"/>
        <v>0.9895627729248003</v>
      </c>
      <c r="U24" s="359"/>
      <c r="V24" s="283"/>
      <c r="W24" s="283"/>
      <c r="X24" s="283"/>
      <c r="Y24" s="283"/>
      <c r="Z24" s="283"/>
      <c r="AA24" s="283"/>
      <c r="AB24" s="1121"/>
      <c r="AC24" s="359"/>
      <c r="AD24" s="359"/>
      <c r="AE24" s="359"/>
      <c r="AF24" s="359"/>
      <c r="AG24" s="359"/>
      <c r="AH24" s="359"/>
      <c r="AI24" s="359"/>
      <c r="AJ24" s="1121"/>
      <c r="AK24" s="1010"/>
    </row>
    <row r="25" spans="1:37" ht="21.75" customHeight="1">
      <c r="A25" s="93"/>
      <c r="B25" s="89" t="s">
        <v>271</v>
      </c>
      <c r="C25" s="1440" t="s">
        <v>303</v>
      </c>
      <c r="D25" s="1440"/>
      <c r="E25" s="283">
        <f aca="true" t="shared" si="16" ref="E25:J25">SUM(E26:E28)</f>
        <v>12033812</v>
      </c>
      <c r="F25" s="283">
        <f t="shared" si="16"/>
        <v>12033812</v>
      </c>
      <c r="G25" s="283">
        <f t="shared" si="16"/>
        <v>12334170</v>
      </c>
      <c r="H25" s="283">
        <f t="shared" si="16"/>
        <v>12334170</v>
      </c>
      <c r="I25" s="283">
        <f t="shared" si="16"/>
        <v>12734951</v>
      </c>
      <c r="J25" s="283">
        <f t="shared" si="16"/>
        <v>13756886</v>
      </c>
      <c r="K25" s="283">
        <f>SUM(K26:K28)</f>
        <v>13556136</v>
      </c>
      <c r="L25" s="1122">
        <f t="shared" si="5"/>
        <v>0.9854073080201435</v>
      </c>
      <c r="M25" s="359">
        <f aca="true" t="shared" si="17" ref="M25:S25">SUM(M26:M28)</f>
        <v>10263812</v>
      </c>
      <c r="N25" s="283">
        <f t="shared" si="17"/>
        <v>10263812</v>
      </c>
      <c r="O25" s="283">
        <f t="shared" si="17"/>
        <v>12334170</v>
      </c>
      <c r="P25" s="283">
        <f t="shared" si="17"/>
        <v>12334170</v>
      </c>
      <c r="Q25" s="283">
        <f t="shared" si="17"/>
        <v>12734951</v>
      </c>
      <c r="R25" s="283">
        <f t="shared" si="17"/>
        <v>13756886</v>
      </c>
      <c r="S25" s="283">
        <f t="shared" si="17"/>
        <v>13556136</v>
      </c>
      <c r="T25" s="1122">
        <f t="shared" si="7"/>
        <v>0.9854073080201435</v>
      </c>
      <c r="U25" s="359">
        <v>0</v>
      </c>
      <c r="V25" s="283"/>
      <c r="W25" s="283">
        <f>SUM(W26:W28)</f>
        <v>0</v>
      </c>
      <c r="X25" s="283">
        <f>SUM(X26:X28)</f>
        <v>0</v>
      </c>
      <c r="Y25" s="283">
        <f>SUM(Y26:Y28)</f>
        <v>0</v>
      </c>
      <c r="Z25" s="283">
        <f>SUM(Z26:Z28)</f>
        <v>0</v>
      </c>
      <c r="AA25" s="283">
        <f>SUM(AA26:AA28)</f>
        <v>0</v>
      </c>
      <c r="AB25" s="1122"/>
      <c r="AC25" s="359">
        <v>0</v>
      </c>
      <c r="AD25" s="359">
        <v>0</v>
      </c>
      <c r="AE25" s="359">
        <v>0</v>
      </c>
      <c r="AF25" s="359">
        <v>0</v>
      </c>
      <c r="AG25" s="359">
        <v>0</v>
      </c>
      <c r="AH25" s="359">
        <v>0</v>
      </c>
      <c r="AI25" s="359">
        <v>0</v>
      </c>
      <c r="AJ25" s="1122"/>
      <c r="AK25" s="1010"/>
    </row>
    <row r="26" spans="1:37" ht="31.5" customHeight="1">
      <c r="A26" s="93"/>
      <c r="B26" s="89"/>
      <c r="C26" s="89" t="s">
        <v>481</v>
      </c>
      <c r="D26" s="320" t="s">
        <v>304</v>
      </c>
      <c r="E26" s="283">
        <f>'3.sz.m Önk  bev.'!E25+'5.2 sz. m ÁMK'!D12</f>
        <v>12033812</v>
      </c>
      <c r="F26" s="283">
        <f>'3.sz.m Önk  bev.'!F25+'5.2 sz. m ÁMK'!E12</f>
        <v>12033812</v>
      </c>
      <c r="G26" s="283">
        <f>'3.sz.m Önk  bev.'!G25+'5.2 sz. m ÁMK'!F12</f>
        <v>11943812</v>
      </c>
      <c r="H26" s="283">
        <f>'3.sz.m Önk  bev.'!H25+'5.2 sz. m ÁMK'!G12</f>
        <v>11943812</v>
      </c>
      <c r="I26" s="283">
        <f>'3.sz.m Önk  bev.'!I25+'5.2 sz. m ÁMK'!H12</f>
        <v>12244422</v>
      </c>
      <c r="J26" s="283">
        <f>'3.sz.m Önk  bev.'!J25+'5.2 sz. m ÁMK'!I12</f>
        <v>13266357</v>
      </c>
      <c r="K26" s="283">
        <f>'3.sz.m Önk  bev.'!K25+'5.2 sz. m ÁMK'!J12</f>
        <v>13065607</v>
      </c>
      <c r="L26" s="1122">
        <f t="shared" si="5"/>
        <v>0.9848677372393944</v>
      </c>
      <c r="M26" s="359">
        <f>'3.sz.m Önk  bev.'!M25</f>
        <v>10263812</v>
      </c>
      <c r="N26" s="283">
        <f>'3.sz.m Önk  bev.'!N25</f>
        <v>10263812</v>
      </c>
      <c r="O26" s="283">
        <f>'3.sz.m Önk  bev.'!O25+'5.2 sz. m ÁMK'!N12</f>
        <v>11943812</v>
      </c>
      <c r="P26" s="283">
        <f>'3.sz.m Önk  bev.'!P25+'5.2 sz. m ÁMK'!O12</f>
        <v>11943812</v>
      </c>
      <c r="Q26" s="283">
        <f>'3.sz.m Önk  bev.'!Q25+'5.2 sz. m ÁMK'!P12</f>
        <v>12244422</v>
      </c>
      <c r="R26" s="283">
        <f>'3.sz.m Önk  bev.'!R25+'5.2 sz. m ÁMK'!Q12</f>
        <v>13266357</v>
      </c>
      <c r="S26" s="283">
        <f>'3.sz.m Önk  bev.'!S25+'5.2 sz. m ÁMK'!R12</f>
        <v>13065607</v>
      </c>
      <c r="T26" s="1122">
        <f t="shared" si="7"/>
        <v>0.9848677372393944</v>
      </c>
      <c r="U26" s="359">
        <v>0</v>
      </c>
      <c r="V26" s="283"/>
      <c r="W26" s="283">
        <f>'3.sz.m Önk  bev.'!W25</f>
        <v>0</v>
      </c>
      <c r="X26" s="283">
        <f>'3.sz.m Önk  bev.'!X25</f>
        <v>0</v>
      </c>
      <c r="Y26" s="283">
        <f>'3.sz.m Önk  bev.'!Y25</f>
        <v>0</v>
      </c>
      <c r="Z26" s="283">
        <f>'3.sz.m Önk  bev.'!Z25</f>
        <v>0</v>
      </c>
      <c r="AA26" s="283">
        <f>'3.sz.m Önk  bev.'!AA25</f>
        <v>0</v>
      </c>
      <c r="AB26" s="1122"/>
      <c r="AC26" s="359">
        <v>0</v>
      </c>
      <c r="AD26" s="359">
        <v>0</v>
      </c>
      <c r="AE26" s="359">
        <v>0</v>
      </c>
      <c r="AF26" s="359">
        <v>0</v>
      </c>
      <c r="AG26" s="359">
        <v>0</v>
      </c>
      <c r="AH26" s="359">
        <v>0</v>
      </c>
      <c r="AI26" s="359">
        <v>0</v>
      </c>
      <c r="AJ26" s="1122"/>
      <c r="AK26" s="1010"/>
    </row>
    <row r="27" spans="1:37" ht="41.25" customHeight="1">
      <c r="A27" s="93"/>
      <c r="B27" s="89"/>
      <c r="C27" s="89" t="s">
        <v>482</v>
      </c>
      <c r="D27" s="320" t="s">
        <v>305</v>
      </c>
      <c r="E27" s="283">
        <f>'3.sz.m Önk  bev.'!E26</f>
        <v>0</v>
      </c>
      <c r="F27" s="283">
        <f>'3.sz.m Önk  bev.'!F26</f>
        <v>0</v>
      </c>
      <c r="G27" s="283">
        <f>'3.sz.m Önk  bev.'!G26</f>
        <v>390358</v>
      </c>
      <c r="H27" s="283">
        <f>'3.sz.m Önk  bev.'!H26</f>
        <v>390358</v>
      </c>
      <c r="I27" s="283">
        <f>'3.sz.m Önk  bev.'!I26</f>
        <v>390358</v>
      </c>
      <c r="J27" s="283">
        <f>'3.sz.m Önk  bev.'!J26</f>
        <v>390358</v>
      </c>
      <c r="K27" s="283">
        <f>'3.sz.m Önk  bev.'!K26</f>
        <v>390358</v>
      </c>
      <c r="L27" s="1122">
        <f t="shared" si="5"/>
        <v>1</v>
      </c>
      <c r="M27" s="359">
        <f>'3.sz.m Önk  bev.'!M26</f>
        <v>0</v>
      </c>
      <c r="N27" s="283">
        <f>'3.sz.m Önk  bev.'!N26</f>
        <v>0</v>
      </c>
      <c r="O27" s="283">
        <f>'3.sz.m Önk  bev.'!O26</f>
        <v>390358</v>
      </c>
      <c r="P27" s="283">
        <f>'3.sz.m Önk  bev.'!P26</f>
        <v>390358</v>
      </c>
      <c r="Q27" s="283">
        <f>'3.sz.m Önk  bev.'!Q26</f>
        <v>390358</v>
      </c>
      <c r="R27" s="283">
        <f>'3.sz.m Önk  bev.'!R26</f>
        <v>390358</v>
      </c>
      <c r="S27" s="283">
        <f>'3.sz.m Önk  bev.'!S26</f>
        <v>390358</v>
      </c>
      <c r="T27" s="1122">
        <f t="shared" si="7"/>
        <v>1</v>
      </c>
      <c r="U27" s="359">
        <v>0</v>
      </c>
      <c r="V27" s="283"/>
      <c r="W27" s="283"/>
      <c r="X27" s="283"/>
      <c r="Y27" s="283"/>
      <c r="Z27" s="283"/>
      <c r="AA27" s="283"/>
      <c r="AB27" s="1122"/>
      <c r="AC27" s="359">
        <v>0</v>
      </c>
      <c r="AD27" s="359">
        <v>0</v>
      </c>
      <c r="AE27" s="359">
        <v>0</v>
      </c>
      <c r="AF27" s="359">
        <v>0</v>
      </c>
      <c r="AG27" s="359">
        <v>0</v>
      </c>
      <c r="AH27" s="359">
        <v>0</v>
      </c>
      <c r="AI27" s="359">
        <v>0</v>
      </c>
      <c r="AJ27" s="1122"/>
      <c r="AK27" s="1010"/>
    </row>
    <row r="28" spans="1:37" ht="21.75" customHeight="1">
      <c r="A28" s="93"/>
      <c r="B28" s="89"/>
      <c r="C28" s="89" t="s">
        <v>483</v>
      </c>
      <c r="D28" s="320" t="s">
        <v>494</v>
      </c>
      <c r="E28" s="283">
        <f>'3.sz.m Önk  bev.'!E27</f>
        <v>0</v>
      </c>
      <c r="F28" s="283">
        <f>'3.sz.m Önk  bev.'!F27</f>
        <v>0</v>
      </c>
      <c r="G28" s="283">
        <f>'3.sz.m Önk  bev.'!G27</f>
        <v>0</v>
      </c>
      <c r="H28" s="283">
        <f>'3.sz.m Önk  bev.'!H27</f>
        <v>0</v>
      </c>
      <c r="I28" s="283">
        <f>'3.sz.m Önk  bev.'!I27</f>
        <v>100171</v>
      </c>
      <c r="J28" s="283">
        <f>'3.sz.m Önk  bev.'!J27</f>
        <v>100171</v>
      </c>
      <c r="K28" s="283">
        <f>'3.sz.m Önk  bev.'!K27</f>
        <v>100171</v>
      </c>
      <c r="L28" s="1122">
        <f t="shared" si="5"/>
        <v>1</v>
      </c>
      <c r="M28" s="359">
        <f>'3.sz.m Önk  bev.'!M27</f>
        <v>0</v>
      </c>
      <c r="N28" s="283">
        <f>'3.sz.m Önk  bev.'!N27</f>
        <v>0</v>
      </c>
      <c r="O28" s="283">
        <f>'3.sz.m Önk  bev.'!O27</f>
        <v>0</v>
      </c>
      <c r="P28" s="283">
        <f>'3.sz.m Önk  bev.'!P27</f>
        <v>0</v>
      </c>
      <c r="Q28" s="283">
        <f>'3.sz.m Önk  bev.'!Q27</f>
        <v>100171</v>
      </c>
      <c r="R28" s="283">
        <f>'3.sz.m Önk  bev.'!R27</f>
        <v>100171</v>
      </c>
      <c r="S28" s="283">
        <f>'3.sz.m Önk  bev.'!S27</f>
        <v>100171</v>
      </c>
      <c r="T28" s="1122">
        <f t="shared" si="7"/>
        <v>1</v>
      </c>
      <c r="U28" s="359">
        <v>0</v>
      </c>
      <c r="V28" s="283"/>
      <c r="W28" s="283"/>
      <c r="X28" s="283"/>
      <c r="Y28" s="283"/>
      <c r="Z28" s="283"/>
      <c r="AA28" s="283"/>
      <c r="AB28" s="1122"/>
      <c r="AC28" s="359">
        <v>0</v>
      </c>
      <c r="AD28" s="359">
        <v>0</v>
      </c>
      <c r="AE28" s="359">
        <v>0</v>
      </c>
      <c r="AF28" s="359">
        <v>0</v>
      </c>
      <c r="AG28" s="359">
        <v>0</v>
      </c>
      <c r="AH28" s="359">
        <v>0</v>
      </c>
      <c r="AI28" s="359">
        <v>0</v>
      </c>
      <c r="AJ28" s="1122"/>
      <c r="AK28" s="1010"/>
    </row>
    <row r="29" spans="1:37" ht="21.75" customHeight="1">
      <c r="A29" s="93"/>
      <c r="B29" s="89" t="s">
        <v>307</v>
      </c>
      <c r="C29" s="1440" t="s">
        <v>306</v>
      </c>
      <c r="D29" s="1440"/>
      <c r="E29" s="283">
        <f>'3.sz.m Önk  bev.'!E28+'5.2 sz. m ÁMK'!D14</f>
        <v>8457520</v>
      </c>
      <c r="F29" s="283">
        <f>'3.sz.m Önk  bev.'!F28+'5.2 sz. m ÁMK'!E14</f>
        <v>8457520</v>
      </c>
      <c r="G29" s="283">
        <f>'3.sz.m Önk  bev.'!G28+'5.2 sz. m ÁMK'!F14</f>
        <v>8525318</v>
      </c>
      <c r="H29" s="283">
        <f>'3.sz.m Önk  bev.'!H28+'5.2 sz. m ÁMK'!G14</f>
        <v>8525318</v>
      </c>
      <c r="I29" s="283">
        <f>'3.sz.m Önk  bev.'!I28+'5.2 sz. m ÁMK'!H14</f>
        <v>8525318</v>
      </c>
      <c r="J29" s="283">
        <f>'3.sz.m Önk  bev.'!J28+'5.2 sz. m ÁMK'!I14</f>
        <v>8037246</v>
      </c>
      <c r="K29" s="283">
        <f>'3.sz.m Önk  bev.'!K28+'5.2 sz. m ÁMK'!J14</f>
        <v>7648926</v>
      </c>
      <c r="L29" s="1122">
        <f t="shared" si="5"/>
        <v>0.9516849428274312</v>
      </c>
      <c r="M29" s="359">
        <f>'3.sz.m Önk  bev.'!M28</f>
        <v>1642410</v>
      </c>
      <c r="N29" s="283">
        <f>'3.sz.m Önk  bev.'!N28</f>
        <v>1642410</v>
      </c>
      <c r="O29" s="283">
        <f>'3.sz.m Önk  bev.'!O28+'5.2 sz. m ÁMK'!N14</f>
        <v>8525318</v>
      </c>
      <c r="P29" s="283">
        <f>'3.sz.m Önk  bev.'!P28+'5.2 sz. m ÁMK'!O14</f>
        <v>8525318</v>
      </c>
      <c r="Q29" s="283">
        <f>'3.sz.m Önk  bev.'!Q28+'5.2 sz. m ÁMK'!P14</f>
        <v>8525318</v>
      </c>
      <c r="R29" s="283">
        <f>'3.sz.m Önk  bev.'!R28+'5.2 sz. m ÁMK'!Q14</f>
        <v>7956246</v>
      </c>
      <c r="S29" s="283">
        <f>'3.sz.m Önk  bev.'!S28+'5.2 sz. m ÁMK'!R14</f>
        <v>7567926</v>
      </c>
      <c r="T29" s="1122">
        <f t="shared" si="7"/>
        <v>0.9511930626579419</v>
      </c>
      <c r="U29" s="359">
        <v>0</v>
      </c>
      <c r="V29" s="283"/>
      <c r="W29" s="283"/>
      <c r="X29" s="283"/>
      <c r="Y29" s="283"/>
      <c r="Z29" s="283">
        <f>+'3.sz.m Önk  bev.'!Z28</f>
        <v>81000</v>
      </c>
      <c r="AA29" s="283">
        <f>+'3.sz.m Önk  bev.'!AA28</f>
        <v>81000</v>
      </c>
      <c r="AB29" s="1122">
        <f>+AA29/Z29</f>
        <v>1</v>
      </c>
      <c r="AC29" s="359">
        <v>0</v>
      </c>
      <c r="AD29" s="359">
        <v>0</v>
      </c>
      <c r="AE29" s="359">
        <v>0</v>
      </c>
      <c r="AF29" s="359">
        <v>0</v>
      </c>
      <c r="AG29" s="359">
        <v>0</v>
      </c>
      <c r="AH29" s="359">
        <v>0</v>
      </c>
      <c r="AI29" s="359">
        <v>0</v>
      </c>
      <c r="AJ29" s="1122"/>
      <c r="AK29" s="1010"/>
    </row>
    <row r="30" spans="1:37" ht="21.75" customHeight="1" hidden="1">
      <c r="A30" s="97"/>
      <c r="B30" s="98" t="s">
        <v>309</v>
      </c>
      <c r="C30" s="1440" t="s">
        <v>308</v>
      </c>
      <c r="D30" s="1445"/>
      <c r="E30" s="283">
        <f>'3.sz.m Önk  bev.'!E29</f>
        <v>0</v>
      </c>
      <c r="F30" s="283">
        <f>'3.sz.m Önk  bev.'!F29</f>
        <v>0</v>
      </c>
      <c r="G30" s="283">
        <f>'3.sz.m Önk  bev.'!G29</f>
        <v>0</v>
      </c>
      <c r="H30" s="283">
        <f>'3.sz.m Önk  bev.'!H29</f>
        <v>0</v>
      </c>
      <c r="I30" s="283"/>
      <c r="J30" s="283"/>
      <c r="K30" s="283"/>
      <c r="L30" s="1122" t="e">
        <f t="shared" si="5"/>
        <v>#DIV/0!</v>
      </c>
      <c r="M30" s="359">
        <f>'3.sz.m Önk  bev.'!M29</f>
        <v>0</v>
      </c>
      <c r="N30" s="283">
        <f>'3.sz.m Önk  bev.'!N29</f>
        <v>0</v>
      </c>
      <c r="O30" s="283">
        <f>'3.sz.m Önk  bev.'!N29</f>
        <v>0</v>
      </c>
      <c r="P30" s="283">
        <f>'3.sz.m Önk  bev.'!O29</f>
        <v>0</v>
      </c>
      <c r="Q30" s="283">
        <f>'3.sz.m Önk  bev.'!P29</f>
        <v>0</v>
      </c>
      <c r="R30" s="283">
        <f>'3.sz.m Önk  bev.'!Q29</f>
        <v>237795</v>
      </c>
      <c r="S30" s="283">
        <f>'3.sz.m Önk  bev.'!R29</f>
        <v>297932</v>
      </c>
      <c r="T30" s="1122">
        <f t="shared" si="7"/>
        <v>1.2528942997119368</v>
      </c>
      <c r="U30" s="359">
        <v>0</v>
      </c>
      <c r="V30" s="283"/>
      <c r="W30" s="283"/>
      <c r="X30" s="283"/>
      <c r="Y30" s="283"/>
      <c r="Z30" s="283"/>
      <c r="AA30" s="283"/>
      <c r="AB30" s="1122" t="e">
        <f>+AA30/Z30</f>
        <v>#DIV/0!</v>
      </c>
      <c r="AC30" s="359">
        <v>0</v>
      </c>
      <c r="AD30" s="359">
        <v>0</v>
      </c>
      <c r="AE30" s="359">
        <v>0</v>
      </c>
      <c r="AF30" s="359">
        <v>0</v>
      </c>
      <c r="AG30" s="359">
        <v>0</v>
      </c>
      <c r="AH30" s="359">
        <v>0</v>
      </c>
      <c r="AI30" s="359">
        <v>0</v>
      </c>
      <c r="AJ30" s="1122"/>
      <c r="AK30" s="1010"/>
    </row>
    <row r="31" spans="1:37" ht="21.75" customHeight="1">
      <c r="A31" s="97"/>
      <c r="B31" s="98" t="s">
        <v>309</v>
      </c>
      <c r="C31" s="1440" t="s">
        <v>310</v>
      </c>
      <c r="D31" s="1445"/>
      <c r="E31" s="283">
        <f>'3.sz.m Önk  bev.'!E30+'5.1 sz. m Köz Hiv'!D12+'5.2 sz. m ÁMK'!D15</f>
        <v>913332</v>
      </c>
      <c r="F31" s="283">
        <f>'3.sz.m Önk  bev.'!F30+'5.1 sz. m Köz Hiv'!E12+'5.2 sz. m ÁMK'!E15</f>
        <v>913332</v>
      </c>
      <c r="G31" s="283">
        <f>'3.sz.m Önk  bev.'!G30+'5.1 sz. m Köz Hiv'!F12+'5.2 sz. m ÁMK'!F15</f>
        <v>915832</v>
      </c>
      <c r="H31" s="283">
        <f>'3.sz.m Önk  bev.'!H30+'5.1 sz. m Köz Hiv'!G12+'5.2 sz. m ÁMK'!G15</f>
        <v>915832</v>
      </c>
      <c r="I31" s="283">
        <f>'3.sz.m Önk  bev.'!I30+'5.1 sz. m Köz Hiv'!H12+'5.2 sz. m ÁMK'!H15</f>
        <v>915832</v>
      </c>
      <c r="J31" s="283">
        <f>'3.sz.m Önk  bev.'!J30+'5.1 sz. m Köz Hiv'!I12+'5.2 sz. m ÁMK'!I15</f>
        <v>915232</v>
      </c>
      <c r="K31" s="283">
        <f>'3.sz.m Önk  bev.'!K30+'5.1 sz. m Köz Hiv'!J12+'5.2 sz. m ÁMK'!J15</f>
        <v>845612</v>
      </c>
      <c r="L31" s="1122">
        <f t="shared" si="5"/>
        <v>0.923931855529527</v>
      </c>
      <c r="M31" s="359">
        <f>'3.sz.m Önk  bev.'!M30</f>
        <v>913332</v>
      </c>
      <c r="N31" s="283">
        <f>'3.sz.m Önk  bev.'!N30</f>
        <v>913332</v>
      </c>
      <c r="O31" s="283">
        <f>'3.sz.m Önk  bev.'!O30+'5.1 sz. m Köz Hiv'!N12+'5.2 sz. m ÁMK'!N15</f>
        <v>915832</v>
      </c>
      <c r="P31" s="283">
        <f>'3.sz.m Önk  bev.'!P30+'5.1 sz. m Köz Hiv'!O12+'5.2 sz. m ÁMK'!O15</f>
        <v>915832</v>
      </c>
      <c r="Q31" s="283">
        <f>'3.sz.m Önk  bev.'!Q30+'5.1 sz. m Köz Hiv'!P12+'5.2 sz. m ÁMK'!P15</f>
        <v>915832</v>
      </c>
      <c r="R31" s="283">
        <f>'3.sz.m Önk  bev.'!R30+'5.1 sz. m Köz Hiv'!Q12+'5.2 sz. m ÁMK'!Q15</f>
        <v>915232</v>
      </c>
      <c r="S31" s="283">
        <f>'3.sz.m Önk  bev.'!S30+'5.1 sz. m Köz Hiv'!R12+'5.2 sz. m ÁMK'!R15</f>
        <v>845612</v>
      </c>
      <c r="T31" s="1122">
        <f t="shared" si="7"/>
        <v>0.923931855529527</v>
      </c>
      <c r="U31" s="359">
        <v>0</v>
      </c>
      <c r="V31" s="283"/>
      <c r="W31" s="283"/>
      <c r="X31" s="283"/>
      <c r="Y31" s="283"/>
      <c r="Z31" s="283"/>
      <c r="AA31" s="283"/>
      <c r="AB31" s="1122"/>
      <c r="AC31" s="359">
        <v>0</v>
      </c>
      <c r="AD31" s="359">
        <v>0</v>
      </c>
      <c r="AE31" s="359">
        <v>0</v>
      </c>
      <c r="AF31" s="359">
        <v>0</v>
      </c>
      <c r="AG31" s="359">
        <v>0</v>
      </c>
      <c r="AH31" s="359">
        <v>0</v>
      </c>
      <c r="AI31" s="359">
        <v>0</v>
      </c>
      <c r="AJ31" s="1122"/>
      <c r="AK31" s="1010"/>
    </row>
    <row r="32" spans="1:37" ht="21.75" customHeight="1">
      <c r="A32" s="97"/>
      <c r="B32" s="98" t="s">
        <v>484</v>
      </c>
      <c r="C32" s="1439" t="s">
        <v>70</v>
      </c>
      <c r="D32" s="1439"/>
      <c r="E32" s="283">
        <f>'3.sz.m Önk  bev.'!E31+'5.1 sz. m Köz Hiv'!D13+'5.2 sz. m ÁMK'!D16</f>
        <v>0</v>
      </c>
      <c r="F32" s="283">
        <f>'3.sz.m Önk  bev.'!F31+'5.1 sz. m Köz Hiv'!E13+'5.2 sz. m ÁMK'!E16</f>
        <v>65640</v>
      </c>
      <c r="G32" s="283">
        <f>'3.sz.m Önk  bev.'!G31+'5.1 sz. m Köz Hiv'!F13+'5.2 sz. m ÁMK'!F16</f>
        <v>1801257</v>
      </c>
      <c r="H32" s="283">
        <f>'3.sz.m Önk  bev.'!H31+'5.1 sz. m Köz Hiv'!G13+'5.2 sz. m ÁMK'!G16</f>
        <v>1801257</v>
      </c>
      <c r="I32" s="283">
        <f>'3.sz.m Önk  bev.'!I31+'5.1 sz. m Köz Hiv'!H13+'5.2 sz. m ÁMK'!H16</f>
        <v>2528398</v>
      </c>
      <c r="J32" s="283">
        <f>'3.sz.m Önk  bev.'!J31+'5.1 sz. m Köz Hiv'!I13+'5.2 sz. m ÁMK'!I16</f>
        <v>3022798</v>
      </c>
      <c r="K32" s="283">
        <f>'3.sz.m Önk  bev.'!K31+'5.1 sz. m Köz Hiv'!J13+'5.2 sz. m ÁMK'!J16</f>
        <v>2840220</v>
      </c>
      <c r="L32" s="1122">
        <f t="shared" si="5"/>
        <v>0.9395996689160175</v>
      </c>
      <c r="M32" s="359">
        <f>'3.sz.m Önk  bev.'!M31</f>
        <v>0</v>
      </c>
      <c r="N32" s="283">
        <f>'3.sz.m Önk  bev.'!N31+'5.1 sz. m Köz Hiv'!M13</f>
        <v>65640</v>
      </c>
      <c r="O32" s="283">
        <f>'3.sz.m Önk  bev.'!O31+'5.1 sz. m Köz Hiv'!N13+'5.2 sz. m ÁMK'!N16</f>
        <v>1801257</v>
      </c>
      <c r="P32" s="283">
        <f>'3.sz.m Önk  bev.'!P31+'5.1 sz. m Köz Hiv'!O13+'5.2 sz. m ÁMK'!O16</f>
        <v>1801257</v>
      </c>
      <c r="Q32" s="283">
        <f>'3.sz.m Önk  bev.'!Q31+'5.1 sz. m Köz Hiv'!P13+'5.2 sz. m ÁMK'!P16</f>
        <v>2528398</v>
      </c>
      <c r="R32" s="283">
        <f>'3.sz.m Önk  bev.'!R31+'5.1 sz. m Köz Hiv'!Q13+'5.2 sz. m ÁMK'!Q16</f>
        <v>3022798</v>
      </c>
      <c r="S32" s="283">
        <f>'3.sz.m Önk  bev.'!S31+'5.1 sz. m Köz Hiv'!R13+'5.2 sz. m ÁMK'!R16</f>
        <v>2840220</v>
      </c>
      <c r="T32" s="1122">
        <f t="shared" si="7"/>
        <v>0.9395996689160175</v>
      </c>
      <c r="U32" s="359">
        <v>0</v>
      </c>
      <c r="V32" s="283"/>
      <c r="W32" s="283"/>
      <c r="X32" s="283"/>
      <c r="Y32" s="283"/>
      <c r="Z32" s="283"/>
      <c r="AA32" s="283"/>
      <c r="AB32" s="1122"/>
      <c r="AC32" s="359">
        <v>0</v>
      </c>
      <c r="AD32" s="359">
        <v>0</v>
      </c>
      <c r="AE32" s="359">
        <v>0</v>
      </c>
      <c r="AF32" s="359">
        <v>0</v>
      </c>
      <c r="AG32" s="359">
        <v>0</v>
      </c>
      <c r="AH32" s="359">
        <v>0</v>
      </c>
      <c r="AI32" s="359">
        <v>0</v>
      </c>
      <c r="AJ32" s="1122"/>
      <c r="AK32" s="1010"/>
    </row>
    <row r="33" spans="1:37" ht="21.75" customHeight="1" thickBot="1">
      <c r="A33" s="97"/>
      <c r="B33" s="98" t="s">
        <v>570</v>
      </c>
      <c r="C33" s="1440" t="s">
        <v>569</v>
      </c>
      <c r="D33" s="1445"/>
      <c r="E33" s="283"/>
      <c r="F33" s="283"/>
      <c r="G33" s="283"/>
      <c r="H33" s="283"/>
      <c r="I33" s="283">
        <f>'3.sz.m Önk  bev.'!I29</f>
        <v>237795</v>
      </c>
      <c r="J33" s="283">
        <f>'3.sz.m Önk  bev.'!J29</f>
        <v>297932</v>
      </c>
      <c r="K33" s="283">
        <f>'3.sz.m Önk  bev.'!K29</f>
        <v>297932</v>
      </c>
      <c r="L33" s="1122">
        <f t="shared" si="5"/>
        <v>1</v>
      </c>
      <c r="M33" s="359"/>
      <c r="N33" s="283"/>
      <c r="O33" s="283"/>
      <c r="P33" s="283"/>
      <c r="Q33" s="283">
        <f>'3.sz.m Önk  bev.'!Q29</f>
        <v>237795</v>
      </c>
      <c r="R33" s="283">
        <f>+'3.sz.m Önk  bev.'!R29</f>
        <v>297932</v>
      </c>
      <c r="S33" s="283">
        <f>+'3.sz.m Önk  bev.'!S29</f>
        <v>297932</v>
      </c>
      <c r="T33" s="1122">
        <f t="shared" si="7"/>
        <v>1</v>
      </c>
      <c r="U33" s="359"/>
      <c r="V33" s="283"/>
      <c r="W33" s="283"/>
      <c r="X33" s="283"/>
      <c r="Y33" s="283"/>
      <c r="Z33" s="283"/>
      <c r="AA33" s="283"/>
      <c r="AB33" s="1122"/>
      <c r="AC33" s="359"/>
      <c r="AD33" s="359"/>
      <c r="AE33" s="359"/>
      <c r="AF33" s="359"/>
      <c r="AG33" s="359"/>
      <c r="AH33" s="359"/>
      <c r="AI33" s="359"/>
      <c r="AJ33" s="1122"/>
      <c r="AK33" s="1010"/>
    </row>
    <row r="34" spans="1:37" ht="42.75" customHeight="1" thickBot="1">
      <c r="A34" s="100" t="s">
        <v>10</v>
      </c>
      <c r="B34" s="1433" t="s">
        <v>311</v>
      </c>
      <c r="C34" s="1433"/>
      <c r="D34" s="1433"/>
      <c r="E34" s="351">
        <f aca="true" t="shared" si="18" ref="E34:K34">SUM(E35:E39)</f>
        <v>255822270</v>
      </c>
      <c r="F34" s="103">
        <f t="shared" si="18"/>
        <v>255822270</v>
      </c>
      <c r="G34" s="103">
        <f t="shared" si="18"/>
        <v>255822270</v>
      </c>
      <c r="H34" s="103">
        <f t="shared" si="18"/>
        <v>264508418</v>
      </c>
      <c r="I34" s="103">
        <f t="shared" si="18"/>
        <v>276651755</v>
      </c>
      <c r="J34" s="103">
        <f t="shared" si="18"/>
        <v>280919250</v>
      </c>
      <c r="K34" s="103">
        <f t="shared" si="18"/>
        <v>280919250</v>
      </c>
      <c r="L34" s="1089">
        <f t="shared" si="5"/>
        <v>1</v>
      </c>
      <c r="M34" s="351">
        <f aca="true" t="shared" si="19" ref="M34:S34">SUM(M35:M39)</f>
        <v>255822270</v>
      </c>
      <c r="N34" s="103">
        <f t="shared" si="19"/>
        <v>255822270</v>
      </c>
      <c r="O34" s="103">
        <f t="shared" si="19"/>
        <v>255822270</v>
      </c>
      <c r="P34" s="103">
        <f t="shared" si="19"/>
        <v>264508418</v>
      </c>
      <c r="Q34" s="103">
        <f t="shared" si="19"/>
        <v>276651755</v>
      </c>
      <c r="R34" s="103">
        <f t="shared" si="19"/>
        <v>280919250</v>
      </c>
      <c r="S34" s="103">
        <f t="shared" si="19"/>
        <v>280919250</v>
      </c>
      <c r="T34" s="1089">
        <f t="shared" si="7"/>
        <v>1</v>
      </c>
      <c r="U34" s="351">
        <v>0</v>
      </c>
      <c r="V34" s="103"/>
      <c r="W34" s="103"/>
      <c r="X34" s="103"/>
      <c r="Y34" s="103"/>
      <c r="Z34" s="103"/>
      <c r="AA34" s="103"/>
      <c r="AB34" s="1089"/>
      <c r="AC34" s="351">
        <v>0</v>
      </c>
      <c r="AD34" s="351">
        <v>0</v>
      </c>
      <c r="AE34" s="351">
        <v>0</v>
      </c>
      <c r="AF34" s="351">
        <v>0</v>
      </c>
      <c r="AG34" s="351">
        <v>0</v>
      </c>
      <c r="AH34" s="351">
        <v>0</v>
      </c>
      <c r="AI34" s="351">
        <v>0</v>
      </c>
      <c r="AJ34" s="1089"/>
      <c r="AK34" s="1010"/>
    </row>
    <row r="35" spans="1:37" ht="21.75" customHeight="1">
      <c r="A35" s="94"/>
      <c r="B35" s="98" t="s">
        <v>42</v>
      </c>
      <c r="C35" s="1453" t="s">
        <v>312</v>
      </c>
      <c r="D35" s="1454"/>
      <c r="E35" s="359">
        <f>'3.sz.m Önk  bev.'!E33</f>
        <v>217306312</v>
      </c>
      <c r="F35" s="283">
        <f>'3.sz.m Önk  bev.'!F33</f>
        <v>219614077</v>
      </c>
      <c r="G35" s="283">
        <f>'3.sz.m Önk  bev.'!G33</f>
        <v>224664861</v>
      </c>
      <c r="H35" s="283">
        <f>'3.sz.m Önk  bev.'!H33</f>
        <v>227055192</v>
      </c>
      <c r="I35" s="283">
        <f>'3.sz.m Önk  bev.'!I33</f>
        <v>235168984</v>
      </c>
      <c r="J35" s="283">
        <f>'3.sz.m Önk  bev.'!J33</f>
        <v>240355940</v>
      </c>
      <c r="K35" s="283">
        <f>'3.sz.m Önk  bev.'!K33</f>
        <v>240355940</v>
      </c>
      <c r="L35" s="1126">
        <f t="shared" si="5"/>
        <v>1</v>
      </c>
      <c r="M35" s="359">
        <f>'3.sz.m Önk  bev.'!M33</f>
        <v>217306312</v>
      </c>
      <c r="N35" s="283">
        <f>'3.sz.m Önk  bev.'!N33</f>
        <v>219614077</v>
      </c>
      <c r="O35" s="283">
        <f>'3.sz.m Önk  bev.'!O33</f>
        <v>224664861</v>
      </c>
      <c r="P35" s="283">
        <f>'3.sz.m Önk  bev.'!P33</f>
        <v>227055192</v>
      </c>
      <c r="Q35" s="283">
        <f>'3.sz.m Önk  bev.'!Q33</f>
        <v>235168984</v>
      </c>
      <c r="R35" s="283">
        <f>'3.sz.m Önk  bev.'!R33</f>
        <v>240355940</v>
      </c>
      <c r="S35" s="283">
        <f>'3.sz.m Önk  bev.'!S33</f>
        <v>240355940</v>
      </c>
      <c r="T35" s="1126">
        <f t="shared" si="7"/>
        <v>1</v>
      </c>
      <c r="U35" s="359">
        <v>0</v>
      </c>
      <c r="V35" s="283"/>
      <c r="W35" s="283"/>
      <c r="X35" s="283"/>
      <c r="Y35" s="283"/>
      <c r="Z35" s="283"/>
      <c r="AA35" s="283"/>
      <c r="AB35" s="1126"/>
      <c r="AC35" s="359">
        <v>0</v>
      </c>
      <c r="AD35" s="359">
        <v>0</v>
      </c>
      <c r="AE35" s="359">
        <v>0</v>
      </c>
      <c r="AF35" s="359">
        <v>0</v>
      </c>
      <c r="AG35" s="359">
        <v>0</v>
      </c>
      <c r="AH35" s="359">
        <v>0</v>
      </c>
      <c r="AI35" s="359">
        <v>0</v>
      </c>
      <c r="AJ35" s="1126"/>
      <c r="AK35" s="1010"/>
    </row>
    <row r="36" spans="1:37" ht="21.75" customHeight="1">
      <c r="A36" s="93"/>
      <c r="B36" s="98" t="s">
        <v>43</v>
      </c>
      <c r="C36" s="1440" t="s">
        <v>489</v>
      </c>
      <c r="D36" s="1445"/>
      <c r="E36" s="359">
        <f>'3.sz.m Önk  bev.'!E34</f>
        <v>0</v>
      </c>
      <c r="F36" s="283">
        <f>'3.sz.m Önk  bev.'!F34</f>
        <v>0</v>
      </c>
      <c r="G36" s="283">
        <f>'3.sz.m Önk  bev.'!G34</f>
        <v>2175574</v>
      </c>
      <c r="H36" s="283">
        <f>'3.sz.m Önk  bev.'!H34</f>
        <v>10861722</v>
      </c>
      <c r="I36" s="283">
        <f>'3.sz.m Önk  bev.'!I34</f>
        <v>14789347</v>
      </c>
      <c r="J36" s="283">
        <f>'3.sz.m Önk  bev.'!J34</f>
        <v>20499784</v>
      </c>
      <c r="K36" s="283">
        <f>'3.sz.m Önk  bev.'!K34</f>
        <v>20499784</v>
      </c>
      <c r="L36" s="1124">
        <f t="shared" si="5"/>
        <v>1</v>
      </c>
      <c r="M36" s="359">
        <f>'3.sz.m Önk  bev.'!M34</f>
        <v>0</v>
      </c>
      <c r="N36" s="283">
        <f>'3.sz.m Önk  bev.'!N34</f>
        <v>0</v>
      </c>
      <c r="O36" s="283">
        <f>'3.sz.m Önk  bev.'!O34</f>
        <v>2175574</v>
      </c>
      <c r="P36" s="283">
        <f>'3.sz.m Önk  bev.'!P34</f>
        <v>10861722</v>
      </c>
      <c r="Q36" s="283">
        <f>'3.sz.m Önk  bev.'!Q34</f>
        <v>14789347</v>
      </c>
      <c r="R36" s="283">
        <f>'3.sz.m Önk  bev.'!R34</f>
        <v>20499784</v>
      </c>
      <c r="S36" s="283">
        <f>'3.sz.m Önk  bev.'!S34</f>
        <v>20499784</v>
      </c>
      <c r="T36" s="1124">
        <f t="shared" si="7"/>
        <v>1</v>
      </c>
      <c r="U36" s="359">
        <v>0</v>
      </c>
      <c r="V36" s="283"/>
      <c r="W36" s="283"/>
      <c r="X36" s="283"/>
      <c r="Y36" s="283"/>
      <c r="Z36" s="283"/>
      <c r="AA36" s="283"/>
      <c r="AB36" s="1124"/>
      <c r="AC36" s="359">
        <v>0</v>
      </c>
      <c r="AD36" s="359">
        <v>0</v>
      </c>
      <c r="AE36" s="359">
        <v>0</v>
      </c>
      <c r="AF36" s="359">
        <v>0</v>
      </c>
      <c r="AG36" s="359">
        <v>0</v>
      </c>
      <c r="AH36" s="359">
        <v>0</v>
      </c>
      <c r="AI36" s="359">
        <v>0</v>
      </c>
      <c r="AJ36" s="1124"/>
      <c r="AK36" s="1010"/>
    </row>
    <row r="37" spans="1:37" ht="21.75" customHeight="1">
      <c r="A37" s="93"/>
      <c r="B37" s="98" t="s">
        <v>67</v>
      </c>
      <c r="C37" s="1440" t="s">
        <v>432</v>
      </c>
      <c r="D37" s="1440"/>
      <c r="E37" s="359">
        <f>'3.sz.m Önk  bev.'!E35</f>
        <v>0</v>
      </c>
      <c r="F37" s="283">
        <f>'3.sz.m Önk  bev.'!F35</f>
        <v>0</v>
      </c>
      <c r="G37" s="283">
        <f>'3.sz.m Önk  bev.'!G35</f>
        <v>0</v>
      </c>
      <c r="H37" s="283">
        <f>'3.sz.m Önk  bev.'!H35</f>
        <v>0</v>
      </c>
      <c r="I37" s="283">
        <f>'3.sz.m Önk  bev.'!I35</f>
        <v>0</v>
      </c>
      <c r="J37" s="283">
        <f>'3.sz.m Önk  bev.'!J35</f>
        <v>0</v>
      </c>
      <c r="K37" s="283">
        <f>'3.sz.m Önk  bev.'!K35</f>
        <v>0</v>
      </c>
      <c r="L37" s="1124"/>
      <c r="M37" s="359">
        <f>'3.sz.m Önk  bev.'!M35</f>
        <v>0</v>
      </c>
      <c r="N37" s="283">
        <f>'3.sz.m Önk  bev.'!N35</f>
        <v>0</v>
      </c>
      <c r="O37" s="283">
        <f>'3.sz.m Önk  bev.'!O35</f>
        <v>0</v>
      </c>
      <c r="P37" s="283">
        <f>'3.sz.m Önk  bev.'!P35</f>
        <v>0</v>
      </c>
      <c r="Q37" s="283">
        <f>'3.sz.m Önk  bev.'!Q35</f>
        <v>0</v>
      </c>
      <c r="R37" s="283">
        <f>'3.sz.m Önk  bev.'!R35</f>
        <v>0</v>
      </c>
      <c r="S37" s="283">
        <f>'3.sz.m Önk  bev.'!S35</f>
        <v>0</v>
      </c>
      <c r="T37" s="1124"/>
      <c r="U37" s="359">
        <v>0</v>
      </c>
      <c r="V37" s="283"/>
      <c r="W37" s="283"/>
      <c r="X37" s="283"/>
      <c r="Y37" s="283"/>
      <c r="Z37" s="283"/>
      <c r="AA37" s="283"/>
      <c r="AB37" s="1124"/>
      <c r="AC37" s="359">
        <v>0</v>
      </c>
      <c r="AD37" s="359">
        <v>0</v>
      </c>
      <c r="AE37" s="359">
        <v>0</v>
      </c>
      <c r="AF37" s="359">
        <v>0</v>
      </c>
      <c r="AG37" s="359">
        <v>0</v>
      </c>
      <c r="AH37" s="359">
        <v>0</v>
      </c>
      <c r="AI37" s="359">
        <v>0</v>
      </c>
      <c r="AJ37" s="1124"/>
      <c r="AK37" s="1010"/>
    </row>
    <row r="38" spans="1:37" ht="21.75" customHeight="1">
      <c r="A38" s="93"/>
      <c r="B38" s="98" t="s">
        <v>68</v>
      </c>
      <c r="C38" s="1440" t="s">
        <v>355</v>
      </c>
      <c r="D38" s="1445"/>
      <c r="E38" s="359"/>
      <c r="F38" s="283"/>
      <c r="G38" s="283"/>
      <c r="H38" s="283"/>
      <c r="I38" s="283">
        <f>'3.sz.m Önk  bev.'!I36</f>
        <v>0</v>
      </c>
      <c r="J38" s="283">
        <f>'3.sz.m Önk  bev.'!J36</f>
        <v>0</v>
      </c>
      <c r="K38" s="283">
        <f>'3.sz.m Önk  bev.'!K36</f>
        <v>0</v>
      </c>
      <c r="L38" s="1124"/>
      <c r="M38" s="359"/>
      <c r="N38" s="283"/>
      <c r="O38" s="283"/>
      <c r="P38" s="283"/>
      <c r="Q38" s="283"/>
      <c r="R38" s="283"/>
      <c r="S38" s="283"/>
      <c r="T38" s="1124"/>
      <c r="U38" s="359">
        <v>0</v>
      </c>
      <c r="V38" s="283"/>
      <c r="W38" s="283"/>
      <c r="X38" s="283"/>
      <c r="Y38" s="283"/>
      <c r="Z38" s="283"/>
      <c r="AA38" s="283"/>
      <c r="AB38" s="1124"/>
      <c r="AC38" s="359">
        <v>0</v>
      </c>
      <c r="AD38" s="359">
        <v>0</v>
      </c>
      <c r="AE38" s="359">
        <v>0</v>
      </c>
      <c r="AF38" s="359">
        <v>0</v>
      </c>
      <c r="AG38" s="359">
        <v>0</v>
      </c>
      <c r="AH38" s="359">
        <v>0</v>
      </c>
      <c r="AI38" s="359">
        <v>0</v>
      </c>
      <c r="AJ38" s="1124"/>
      <c r="AK38" s="1010"/>
    </row>
    <row r="39" spans="1:37" ht="45.75" customHeight="1">
      <c r="A39" s="93"/>
      <c r="B39" s="98" t="s">
        <v>351</v>
      </c>
      <c r="C39" s="1440" t="s">
        <v>313</v>
      </c>
      <c r="D39" s="1445"/>
      <c r="E39" s="359">
        <f aca="true" t="shared" si="20" ref="E39:K39">SUM(E40:E42)</f>
        <v>38515958</v>
      </c>
      <c r="F39" s="283">
        <f t="shared" si="20"/>
        <v>36208193</v>
      </c>
      <c r="G39" s="283">
        <f t="shared" si="20"/>
        <v>28981835</v>
      </c>
      <c r="H39" s="283">
        <f t="shared" si="20"/>
        <v>26591504</v>
      </c>
      <c r="I39" s="283">
        <f t="shared" si="20"/>
        <v>26693424</v>
      </c>
      <c r="J39" s="283">
        <f t="shared" si="20"/>
        <v>20063526</v>
      </c>
      <c r="K39" s="283">
        <f t="shared" si="20"/>
        <v>20063526</v>
      </c>
      <c r="L39" s="1124">
        <f t="shared" si="5"/>
        <v>1</v>
      </c>
      <c r="M39" s="359">
        <f aca="true" t="shared" si="21" ref="M39:S39">SUM(M40:M42)</f>
        <v>38515958</v>
      </c>
      <c r="N39" s="283">
        <f t="shared" si="21"/>
        <v>36208193</v>
      </c>
      <c r="O39" s="283">
        <f t="shared" si="21"/>
        <v>28981835</v>
      </c>
      <c r="P39" s="283">
        <f t="shared" si="21"/>
        <v>26591504</v>
      </c>
      <c r="Q39" s="283">
        <f t="shared" si="21"/>
        <v>26693424</v>
      </c>
      <c r="R39" s="283">
        <f t="shared" si="21"/>
        <v>20063526</v>
      </c>
      <c r="S39" s="283">
        <f t="shared" si="21"/>
        <v>20063526</v>
      </c>
      <c r="T39" s="1124">
        <f t="shared" si="7"/>
        <v>1</v>
      </c>
      <c r="U39" s="359">
        <v>0</v>
      </c>
      <c r="V39" s="283"/>
      <c r="W39" s="283"/>
      <c r="X39" s="283"/>
      <c r="Y39" s="283"/>
      <c r="Z39" s="283"/>
      <c r="AA39" s="283"/>
      <c r="AB39" s="1124"/>
      <c r="AC39" s="359">
        <v>0</v>
      </c>
      <c r="AD39" s="359">
        <v>0</v>
      </c>
      <c r="AE39" s="359">
        <v>0</v>
      </c>
      <c r="AF39" s="359">
        <v>0</v>
      </c>
      <c r="AG39" s="359">
        <v>0</v>
      </c>
      <c r="AH39" s="359">
        <v>0</v>
      </c>
      <c r="AI39" s="359">
        <v>0</v>
      </c>
      <c r="AJ39" s="1124"/>
      <c r="AK39" s="1010"/>
    </row>
    <row r="40" spans="1:37" ht="21.75" customHeight="1">
      <c r="A40" s="93"/>
      <c r="B40" s="98"/>
      <c r="C40" s="95" t="s">
        <v>352</v>
      </c>
      <c r="D40" s="579" t="s">
        <v>33</v>
      </c>
      <c r="E40" s="359">
        <f>'3.sz.m Önk  bev.'!E38</f>
        <v>8066400</v>
      </c>
      <c r="F40" s="283">
        <f>'3.sz.m Önk  bev.'!F38</f>
        <v>8066400</v>
      </c>
      <c r="G40" s="283">
        <f>'3.sz.m Önk  bev.'!G38</f>
        <v>8066400</v>
      </c>
      <c r="H40" s="283">
        <f>'3.sz.m Önk  bev.'!H38</f>
        <v>8066400</v>
      </c>
      <c r="I40" s="283">
        <f>'3.sz.m Önk  bev.'!I38</f>
        <v>8066400</v>
      </c>
      <c r="J40" s="283">
        <f>'3.sz.m Önk  bev.'!J38</f>
        <v>8182000</v>
      </c>
      <c r="K40" s="283">
        <f>'3.sz.m Önk  bev.'!K38</f>
        <v>8182000</v>
      </c>
      <c r="L40" s="1124">
        <f t="shared" si="5"/>
        <v>1</v>
      </c>
      <c r="M40" s="359">
        <f>'3.sz.m Önk  bev.'!M38</f>
        <v>8066400</v>
      </c>
      <c r="N40" s="283">
        <f>'3.sz.m Önk  bev.'!N38</f>
        <v>8066400</v>
      </c>
      <c r="O40" s="283">
        <f>'3.sz.m Önk  bev.'!O38</f>
        <v>8066400</v>
      </c>
      <c r="P40" s="283">
        <f>'3.sz.m Önk  bev.'!P38</f>
        <v>8066400</v>
      </c>
      <c r="Q40" s="283">
        <f>'3.sz.m Önk  bev.'!Q38</f>
        <v>8066400</v>
      </c>
      <c r="R40" s="283">
        <f>'3.sz.m Önk  bev.'!R38</f>
        <v>8182000</v>
      </c>
      <c r="S40" s="283">
        <f>'3.sz.m Önk  bev.'!S38</f>
        <v>8182000</v>
      </c>
      <c r="T40" s="1124">
        <f t="shared" si="7"/>
        <v>1</v>
      </c>
      <c r="U40" s="359">
        <v>0</v>
      </c>
      <c r="V40" s="283"/>
      <c r="W40" s="283"/>
      <c r="X40" s="283"/>
      <c r="Y40" s="283"/>
      <c r="Z40" s="283"/>
      <c r="AA40" s="283"/>
      <c r="AB40" s="1124"/>
      <c r="AC40" s="359">
        <v>0</v>
      </c>
      <c r="AD40" s="359">
        <v>0</v>
      </c>
      <c r="AE40" s="359">
        <v>0</v>
      </c>
      <c r="AF40" s="359">
        <v>0</v>
      </c>
      <c r="AG40" s="359">
        <v>0</v>
      </c>
      <c r="AH40" s="359">
        <v>0</v>
      </c>
      <c r="AI40" s="359">
        <v>0</v>
      </c>
      <c r="AJ40" s="1124"/>
      <c r="AK40" s="1010"/>
    </row>
    <row r="41" spans="1:37" ht="21.75" customHeight="1">
      <c r="A41" s="93"/>
      <c r="B41" s="98"/>
      <c r="C41" s="89" t="s">
        <v>353</v>
      </c>
      <c r="D41" s="320" t="s">
        <v>32</v>
      </c>
      <c r="E41" s="359">
        <f>'3.sz.m Önk  bev.'!E39+'5.2 sz. m ÁMK'!D20</f>
        <v>0</v>
      </c>
      <c r="F41" s="283">
        <f>'3.sz.m Önk  bev.'!F39+'5.2 sz. m ÁMK'!E20</f>
        <v>0</v>
      </c>
      <c r="G41" s="283">
        <f>'3.sz.m Önk  bev.'!G39+'5.2 sz. m ÁMK'!F20</f>
        <v>0</v>
      </c>
      <c r="H41" s="283">
        <f>'3.sz.m Önk  bev.'!H39+'5.2 sz. m ÁMK'!G20</f>
        <v>0</v>
      </c>
      <c r="I41" s="283">
        <f>'3.sz.m Önk  bev.'!I39+'5.2 sz. m ÁMK'!H20</f>
        <v>3844000</v>
      </c>
      <c r="J41" s="283">
        <f>'3.sz.m Önk  bev.'!J39+'5.2 sz. m ÁMK'!I20</f>
        <v>3844000</v>
      </c>
      <c r="K41" s="283">
        <f>'3.sz.m Önk  bev.'!K39+'5.2 sz. m ÁMK'!J20</f>
        <v>3844000</v>
      </c>
      <c r="L41" s="1124">
        <f t="shared" si="5"/>
        <v>1</v>
      </c>
      <c r="M41" s="359">
        <f>'3.sz.m Önk  bev.'!M39+'5.2 sz. m ÁMK'!L20</f>
        <v>0</v>
      </c>
      <c r="N41" s="283">
        <f>'3.sz.m Önk  bev.'!N39+'5.2 sz. m ÁMK'!M20</f>
        <v>0</v>
      </c>
      <c r="O41" s="283">
        <f>'3.sz.m Önk  bev.'!O39+'5.2 sz. m ÁMK'!N20</f>
        <v>0</v>
      </c>
      <c r="P41" s="283">
        <f>'3.sz.m Önk  bev.'!P39+'5.2 sz. m ÁMK'!O20</f>
        <v>0</v>
      </c>
      <c r="Q41" s="283">
        <f>'3.sz.m Önk  bev.'!Q39+'5.2 sz. m ÁMK'!P20</f>
        <v>3844000</v>
      </c>
      <c r="R41" s="283">
        <f>'3.sz.m Önk  bev.'!R39+'5.2 sz. m ÁMK'!Q20</f>
        <v>3844000</v>
      </c>
      <c r="S41" s="283">
        <f>'3.sz.m Önk  bev.'!S39+'5.2 sz. m ÁMK'!R20</f>
        <v>3844000</v>
      </c>
      <c r="T41" s="1124">
        <f t="shared" si="7"/>
        <v>1</v>
      </c>
      <c r="U41" s="359">
        <v>0</v>
      </c>
      <c r="V41" s="283"/>
      <c r="W41" s="283"/>
      <c r="X41" s="283"/>
      <c r="Y41" s="283"/>
      <c r="Z41" s="283"/>
      <c r="AA41" s="283"/>
      <c r="AB41" s="1124"/>
      <c r="AC41" s="359">
        <v>0</v>
      </c>
      <c r="AD41" s="359">
        <v>0</v>
      </c>
      <c r="AE41" s="359">
        <v>0</v>
      </c>
      <c r="AF41" s="359">
        <v>0</v>
      </c>
      <c r="AG41" s="359">
        <v>0</v>
      </c>
      <c r="AH41" s="359">
        <v>0</v>
      </c>
      <c r="AI41" s="359">
        <v>0</v>
      </c>
      <c r="AJ41" s="1124"/>
      <c r="AK41" s="1010"/>
    </row>
    <row r="42" spans="1:37" ht="21.75" customHeight="1" thickBot="1">
      <c r="A42" s="93"/>
      <c r="B42" s="98"/>
      <c r="C42" s="89" t="s">
        <v>354</v>
      </c>
      <c r="D42" s="320" t="s">
        <v>34</v>
      </c>
      <c r="E42" s="359">
        <f>'3.sz.m Önk  bev.'!E40+'5.1 sz. m Köz Hiv'!D16</f>
        <v>30449558</v>
      </c>
      <c r="F42" s="359">
        <f>'3.sz.m Önk  bev.'!F40+'5.1 sz. m Köz Hiv'!E16</f>
        <v>28141793</v>
      </c>
      <c r="G42" s="359">
        <f>'3.sz.m Önk  bev.'!G40+'5.1 sz. m Köz Hiv'!F16</f>
        <v>20915435</v>
      </c>
      <c r="H42" s="359">
        <f>'3.sz.m Önk  bev.'!H40+'5.1 sz. m Köz Hiv'!G16</f>
        <v>18525104</v>
      </c>
      <c r="I42" s="359">
        <f>'3.sz.m Önk  bev.'!I40+'5.1 sz. m Köz Hiv'!H16+'5.2 sz. m ÁMK'!H19</f>
        <v>14783024</v>
      </c>
      <c r="J42" s="359">
        <f>'3.sz.m Önk  bev.'!J40+'5.1 sz. m Köz Hiv'!I16+'5.2 sz. m ÁMK'!I19</f>
        <v>8037526</v>
      </c>
      <c r="K42" s="359">
        <f>'3.sz.m Önk  bev.'!K40+'5.1 sz. m Köz Hiv'!J16+'5.2 sz. m ÁMK'!J19</f>
        <v>8037526</v>
      </c>
      <c r="L42" s="1125">
        <f t="shared" si="5"/>
        <v>1</v>
      </c>
      <c r="M42" s="359">
        <f>'3.sz.m Önk  bev.'!M40+'5.1 sz. m Köz Hiv'!L16</f>
        <v>30449558</v>
      </c>
      <c r="N42" s="359">
        <f>'3.sz.m Önk  bev.'!N40+'5.1 sz. m Köz Hiv'!M16</f>
        <v>28141793</v>
      </c>
      <c r="O42" s="359">
        <f>'3.sz.m Önk  bev.'!O40+'5.1 sz. m Köz Hiv'!N16</f>
        <v>20915435</v>
      </c>
      <c r="P42" s="359">
        <f>'3.sz.m Önk  bev.'!P40+'5.1 sz. m Köz Hiv'!O16+'5.2 sz. m ÁMK'!O19</f>
        <v>18525104</v>
      </c>
      <c r="Q42" s="359">
        <f>'3.sz.m Önk  bev.'!Q40+'5.1 sz. m Köz Hiv'!P16+'5.2 sz. m ÁMK'!P19</f>
        <v>14783024</v>
      </c>
      <c r="R42" s="359">
        <f>'3.sz.m Önk  bev.'!R40+'5.1 sz. m Köz Hiv'!Q16+'5.2 sz. m ÁMK'!Q19</f>
        <v>8037526</v>
      </c>
      <c r="S42" s="359">
        <f>'3.sz.m Önk  bev.'!S40+'5.1 sz. m Köz Hiv'!R16+'5.2 sz. m ÁMK'!R19</f>
        <v>8037526</v>
      </c>
      <c r="T42" s="1125">
        <f t="shared" si="7"/>
        <v>1</v>
      </c>
      <c r="U42" s="359">
        <v>0</v>
      </c>
      <c r="V42" s="283"/>
      <c r="W42" s="283"/>
      <c r="X42" s="283"/>
      <c r="Y42" s="283"/>
      <c r="Z42" s="283"/>
      <c r="AA42" s="283"/>
      <c r="AB42" s="1125"/>
      <c r="AC42" s="359">
        <v>0</v>
      </c>
      <c r="AD42" s="359">
        <v>0</v>
      </c>
      <c r="AE42" s="359">
        <v>0</v>
      </c>
      <c r="AF42" s="359">
        <v>0</v>
      </c>
      <c r="AG42" s="359">
        <v>0</v>
      </c>
      <c r="AH42" s="359">
        <v>0</v>
      </c>
      <c r="AI42" s="359">
        <v>0</v>
      </c>
      <c r="AJ42" s="1125"/>
      <c r="AK42" s="1010"/>
    </row>
    <row r="43" spans="1:37" ht="33" customHeight="1" thickBot="1">
      <c r="A43" s="100" t="s">
        <v>11</v>
      </c>
      <c r="B43" s="1459" t="s">
        <v>314</v>
      </c>
      <c r="C43" s="1459"/>
      <c r="D43" s="1459"/>
      <c r="E43" s="351">
        <f>SUM(E44:E45)</f>
        <v>40000000</v>
      </c>
      <c r="F43" s="103">
        <f aca="true" t="shared" si="22" ref="F43:K43">SUM(F44:F45)+F49</f>
        <v>40000000</v>
      </c>
      <c r="G43" s="103">
        <f t="shared" si="22"/>
        <v>40000000</v>
      </c>
      <c r="H43" s="103">
        <f t="shared" si="22"/>
        <v>208644474</v>
      </c>
      <c r="I43" s="103">
        <f t="shared" si="22"/>
        <v>204800474</v>
      </c>
      <c r="J43" s="103">
        <f t="shared" si="22"/>
        <v>205085474</v>
      </c>
      <c r="K43" s="103">
        <f t="shared" si="22"/>
        <v>205085474</v>
      </c>
      <c r="L43" s="1089">
        <f t="shared" si="5"/>
        <v>1</v>
      </c>
      <c r="M43" s="351">
        <f>SUM(M44:M45)</f>
        <v>40000000</v>
      </c>
      <c r="N43" s="103">
        <f>SUM(N44:N45)</f>
        <v>40000000</v>
      </c>
      <c r="O43" s="103">
        <f>SUM(O44:O45)</f>
        <v>40000000</v>
      </c>
      <c r="P43" s="103">
        <f>SUM(P44:P45)+P49</f>
        <v>208644474</v>
      </c>
      <c r="Q43" s="103">
        <f>SUM(Q44:Q45)+Q49</f>
        <v>204800474</v>
      </c>
      <c r="R43" s="103">
        <f>SUM(R44:R45)+R49</f>
        <v>205085474</v>
      </c>
      <c r="S43" s="103">
        <f>SUM(S44:S45)+S49</f>
        <v>205085474</v>
      </c>
      <c r="T43" s="1089">
        <f t="shared" si="7"/>
        <v>1</v>
      </c>
      <c r="U43" s="351">
        <f>SUM(U44:U45)</f>
        <v>0</v>
      </c>
      <c r="V43" s="103">
        <f>SUM(V44:V45)</f>
        <v>0</v>
      </c>
      <c r="W43" s="103">
        <f>SUM(W44:W45)</f>
        <v>0</v>
      </c>
      <c r="X43" s="103">
        <f>SUM(X44:X45)+X49</f>
        <v>0</v>
      </c>
      <c r="Y43" s="103">
        <f>SUM(Y44:Y45)+Y49</f>
        <v>0</v>
      </c>
      <c r="Z43" s="103">
        <f>SUM(Z44:Z45)+Z49</f>
        <v>0</v>
      </c>
      <c r="AA43" s="103">
        <f>SUM(AA44:AA45)+AA49</f>
        <v>0</v>
      </c>
      <c r="AB43" s="1089"/>
      <c r="AC43" s="351">
        <f aca="true" t="shared" si="23" ref="AC43:AH43">SUM(AC44:AC45)</f>
        <v>0</v>
      </c>
      <c r="AD43" s="351">
        <f t="shared" si="23"/>
        <v>0</v>
      </c>
      <c r="AE43" s="351">
        <f t="shared" si="23"/>
        <v>0</v>
      </c>
      <c r="AF43" s="351">
        <f t="shared" si="23"/>
        <v>0</v>
      </c>
      <c r="AG43" s="351">
        <f t="shared" si="23"/>
        <v>0</v>
      </c>
      <c r="AH43" s="351">
        <f t="shared" si="23"/>
        <v>0</v>
      </c>
      <c r="AI43" s="351">
        <f>SUM(AI44:AI45)</f>
        <v>0</v>
      </c>
      <c r="AJ43" s="1089"/>
      <c r="AK43" s="1010"/>
    </row>
    <row r="44" spans="1:37" ht="21.75" customHeight="1">
      <c r="A44" s="94"/>
      <c r="B44" s="101" t="s">
        <v>315</v>
      </c>
      <c r="C44" s="1448" t="s">
        <v>317</v>
      </c>
      <c r="D44" s="1448"/>
      <c r="E44" s="359">
        <f>'3.sz.m Önk  bev.'!E42</f>
        <v>40000000</v>
      </c>
      <c r="F44" s="283">
        <f>'3.sz.m Önk  bev.'!F42</f>
        <v>40000000</v>
      </c>
      <c r="G44" s="283">
        <f>'3.sz.m Önk  bev.'!G42</f>
        <v>40000000</v>
      </c>
      <c r="H44" s="283">
        <f>'3.sz.m Önk  bev.'!H42</f>
        <v>40000000</v>
      </c>
      <c r="I44" s="283">
        <f>'3.sz.m Önk  bev.'!I42</f>
        <v>40000000</v>
      </c>
      <c r="J44" s="283">
        <f>'3.sz.m Önk  bev.'!J42</f>
        <v>40285000</v>
      </c>
      <c r="K44" s="283">
        <f>'3.sz.m Önk  bev.'!K42</f>
        <v>40285000</v>
      </c>
      <c r="L44" s="1123">
        <f t="shared" si="5"/>
        <v>1</v>
      </c>
      <c r="M44" s="359">
        <f>'3.sz.m Önk  bev.'!M42</f>
        <v>40000000</v>
      </c>
      <c r="N44" s="283">
        <f>'3.sz.m Önk  bev.'!N42</f>
        <v>40000000</v>
      </c>
      <c r="O44" s="283">
        <f>'3.sz.m Önk  bev.'!O42</f>
        <v>40000000</v>
      </c>
      <c r="P44" s="283">
        <f>'3.sz.m Önk  bev.'!P42</f>
        <v>40000000</v>
      </c>
      <c r="Q44" s="283">
        <f>'3.sz.m Önk  bev.'!Q42</f>
        <v>40000000</v>
      </c>
      <c r="R44" s="283">
        <f>'3.sz.m Önk  bev.'!R42</f>
        <v>40285000</v>
      </c>
      <c r="S44" s="283">
        <f>'3.sz.m Önk  bev.'!S42</f>
        <v>40285000</v>
      </c>
      <c r="T44" s="1123">
        <f t="shared" si="7"/>
        <v>1</v>
      </c>
      <c r="U44" s="359">
        <v>0</v>
      </c>
      <c r="V44" s="283"/>
      <c r="W44" s="283"/>
      <c r="X44" s="283"/>
      <c r="Y44" s="283"/>
      <c r="Z44" s="283"/>
      <c r="AA44" s="283"/>
      <c r="AB44" s="1123"/>
      <c r="AC44" s="359">
        <v>0</v>
      </c>
      <c r="AD44" s="359">
        <v>0</v>
      </c>
      <c r="AE44" s="359">
        <v>0</v>
      </c>
      <c r="AF44" s="359">
        <v>0</v>
      </c>
      <c r="AG44" s="359">
        <v>0</v>
      </c>
      <c r="AH44" s="359">
        <v>0</v>
      </c>
      <c r="AI44" s="359">
        <v>0</v>
      </c>
      <c r="AJ44" s="1123"/>
      <c r="AK44" s="1010"/>
    </row>
    <row r="45" spans="1:37" ht="21.75" customHeight="1">
      <c r="A45" s="93"/>
      <c r="B45" s="90" t="s">
        <v>316</v>
      </c>
      <c r="C45" s="1440" t="s">
        <v>318</v>
      </c>
      <c r="D45" s="1440"/>
      <c r="E45" s="359">
        <f aca="true" t="shared" si="24" ref="E45:K45">SUM(E46:E48)</f>
        <v>0</v>
      </c>
      <c r="F45" s="283">
        <f t="shared" si="24"/>
        <v>0</v>
      </c>
      <c r="G45" s="283">
        <f t="shared" si="24"/>
        <v>0</v>
      </c>
      <c r="H45" s="283">
        <f t="shared" si="24"/>
        <v>168644474</v>
      </c>
      <c r="I45" s="283">
        <f t="shared" si="24"/>
        <v>164800474</v>
      </c>
      <c r="J45" s="283">
        <f t="shared" si="24"/>
        <v>164800474</v>
      </c>
      <c r="K45" s="283">
        <f t="shared" si="24"/>
        <v>164800474</v>
      </c>
      <c r="L45" s="1124">
        <f t="shared" si="5"/>
        <v>1</v>
      </c>
      <c r="M45" s="359">
        <f aca="true" t="shared" si="25" ref="M45:S45">SUM(M46:M48)</f>
        <v>0</v>
      </c>
      <c r="N45" s="283">
        <f t="shared" si="25"/>
        <v>0</v>
      </c>
      <c r="O45" s="283">
        <f t="shared" si="25"/>
        <v>0</v>
      </c>
      <c r="P45" s="283">
        <f t="shared" si="25"/>
        <v>168644474</v>
      </c>
      <c r="Q45" s="283">
        <f t="shared" si="25"/>
        <v>164800474</v>
      </c>
      <c r="R45" s="283">
        <f t="shared" si="25"/>
        <v>164800474</v>
      </c>
      <c r="S45" s="283">
        <f t="shared" si="25"/>
        <v>164800474</v>
      </c>
      <c r="T45" s="1124">
        <f t="shared" si="7"/>
        <v>1</v>
      </c>
      <c r="U45" s="359">
        <v>0</v>
      </c>
      <c r="V45" s="283"/>
      <c r="W45" s="283"/>
      <c r="X45" s="283"/>
      <c r="Y45" s="283"/>
      <c r="Z45" s="283"/>
      <c r="AA45" s="283"/>
      <c r="AB45" s="1124"/>
      <c r="AC45" s="359">
        <v>0</v>
      </c>
      <c r="AD45" s="359">
        <v>0</v>
      </c>
      <c r="AE45" s="359">
        <v>0</v>
      </c>
      <c r="AF45" s="359">
        <v>0</v>
      </c>
      <c r="AG45" s="359">
        <v>0</v>
      </c>
      <c r="AH45" s="359">
        <v>0</v>
      </c>
      <c r="AI45" s="359">
        <v>0</v>
      </c>
      <c r="AJ45" s="1124"/>
      <c r="AK45" s="1010"/>
    </row>
    <row r="46" spans="1:37" ht="21.75" customHeight="1">
      <c r="A46" s="93"/>
      <c r="B46" s="101"/>
      <c r="C46" s="95" t="s">
        <v>319</v>
      </c>
      <c r="D46" s="579" t="s">
        <v>33</v>
      </c>
      <c r="E46" s="359">
        <f>'3.sz.m Önk  bev.'!E44</f>
        <v>0</v>
      </c>
      <c r="F46" s="283">
        <f>'3.sz.m Önk  bev.'!F44</f>
        <v>0</v>
      </c>
      <c r="G46" s="283">
        <f>'3.sz.m Önk  bev.'!G44</f>
        <v>0</v>
      </c>
      <c r="H46" s="283">
        <f>'3.sz.m Önk  bev.'!H44</f>
        <v>0</v>
      </c>
      <c r="I46" s="283">
        <f>'3.sz.m Önk  bev.'!I44</f>
        <v>0</v>
      </c>
      <c r="J46" s="283">
        <f>'3.sz.m Önk  bev.'!J44</f>
        <v>0</v>
      </c>
      <c r="K46" s="283">
        <f>'3.sz.m Önk  bev.'!K44</f>
        <v>0</v>
      </c>
      <c r="L46" s="1124"/>
      <c r="M46" s="359">
        <f>'3.sz.m Önk  bev.'!M44</f>
        <v>0</v>
      </c>
      <c r="N46" s="283">
        <f>'3.sz.m Önk  bev.'!N44</f>
        <v>0</v>
      </c>
      <c r="O46" s="283">
        <f>'3.sz.m Önk  bev.'!O44</f>
        <v>0</v>
      </c>
      <c r="P46" s="283">
        <f>'3.sz.m Önk  bev.'!P44</f>
        <v>0</v>
      </c>
      <c r="Q46" s="283">
        <f>'3.sz.m Önk  bev.'!Q44</f>
        <v>0</v>
      </c>
      <c r="R46" s="283">
        <f>'3.sz.m Önk  bev.'!R44</f>
        <v>0</v>
      </c>
      <c r="S46" s="283">
        <f>'3.sz.m Önk  bev.'!S44</f>
        <v>0</v>
      </c>
      <c r="T46" s="1124"/>
      <c r="U46" s="359">
        <v>0</v>
      </c>
      <c r="V46" s="283"/>
      <c r="W46" s="283"/>
      <c r="X46" s="283"/>
      <c r="Y46" s="283"/>
      <c r="Z46" s="283"/>
      <c r="AA46" s="283"/>
      <c r="AB46" s="1124"/>
      <c r="AC46" s="359">
        <v>0</v>
      </c>
      <c r="AD46" s="359">
        <v>0</v>
      </c>
      <c r="AE46" s="359">
        <v>0</v>
      </c>
      <c r="AF46" s="359">
        <v>0</v>
      </c>
      <c r="AG46" s="359">
        <v>0</v>
      </c>
      <c r="AH46" s="359">
        <v>0</v>
      </c>
      <c r="AI46" s="359">
        <v>0</v>
      </c>
      <c r="AJ46" s="1124"/>
      <c r="AK46" s="1010"/>
    </row>
    <row r="47" spans="1:37" ht="21.75" customHeight="1">
      <c r="A47" s="93"/>
      <c r="B47" s="90"/>
      <c r="C47" s="89" t="s">
        <v>320</v>
      </c>
      <c r="D47" s="579" t="s">
        <v>32</v>
      </c>
      <c r="E47" s="359">
        <f>'3.sz.m Önk  bev.'!E45</f>
        <v>0</v>
      </c>
      <c r="F47" s="283">
        <f>'3.sz.m Önk  bev.'!F45</f>
        <v>0</v>
      </c>
      <c r="G47" s="283">
        <f>'3.sz.m Önk  bev.'!G45</f>
        <v>0</v>
      </c>
      <c r="H47" s="283">
        <f>'3.sz.m Önk  bev.'!H45</f>
        <v>0</v>
      </c>
      <c r="I47" s="283">
        <f>'3.sz.m Önk  bev.'!I45</f>
        <v>164800474</v>
      </c>
      <c r="J47" s="283">
        <f>'3.sz.m Önk  bev.'!J45</f>
        <v>164800474</v>
      </c>
      <c r="K47" s="283">
        <f>'3.sz.m Önk  bev.'!K45</f>
        <v>164800474</v>
      </c>
      <c r="L47" s="1124">
        <f t="shared" si="5"/>
        <v>1</v>
      </c>
      <c r="M47" s="359">
        <f>'3.sz.m Önk  bev.'!M45</f>
        <v>0</v>
      </c>
      <c r="N47" s="283">
        <f>'3.sz.m Önk  bev.'!N45</f>
        <v>0</v>
      </c>
      <c r="O47" s="283">
        <f>'3.sz.m Önk  bev.'!O45</f>
        <v>0</v>
      </c>
      <c r="P47" s="283">
        <f>'3.sz.m Önk  bev.'!P45</f>
        <v>0</v>
      </c>
      <c r="Q47" s="283">
        <f>'3.sz.m Önk  bev.'!Q45</f>
        <v>164800474</v>
      </c>
      <c r="R47" s="283">
        <f>'3.sz.m Önk  bev.'!R45</f>
        <v>164800474</v>
      </c>
      <c r="S47" s="283">
        <f>'3.sz.m Önk  bev.'!S45</f>
        <v>164800474</v>
      </c>
      <c r="T47" s="1124">
        <f t="shared" si="7"/>
        <v>1</v>
      </c>
      <c r="U47" s="359">
        <v>0</v>
      </c>
      <c r="V47" s="283"/>
      <c r="W47" s="283"/>
      <c r="X47" s="283"/>
      <c r="Y47" s="283"/>
      <c r="Z47" s="283"/>
      <c r="AA47" s="283"/>
      <c r="AB47" s="1124"/>
      <c r="AC47" s="359">
        <v>0</v>
      </c>
      <c r="AD47" s="359">
        <v>0</v>
      </c>
      <c r="AE47" s="359">
        <v>0</v>
      </c>
      <c r="AF47" s="359">
        <v>0</v>
      </c>
      <c r="AG47" s="359">
        <v>0</v>
      </c>
      <c r="AH47" s="359">
        <v>0</v>
      </c>
      <c r="AI47" s="359">
        <v>0</v>
      </c>
      <c r="AJ47" s="1124"/>
      <c r="AK47" s="1010"/>
    </row>
    <row r="48" spans="1:37" ht="21.75" customHeight="1">
      <c r="A48" s="97"/>
      <c r="B48" s="101"/>
      <c r="C48" s="95" t="s">
        <v>321</v>
      </c>
      <c r="D48" s="579" t="s">
        <v>322</v>
      </c>
      <c r="E48" s="359">
        <f>'3.sz.m Önk  bev.'!E46</f>
        <v>0</v>
      </c>
      <c r="F48" s="283">
        <f>'3.sz.m Önk  bev.'!F46</f>
        <v>0</v>
      </c>
      <c r="G48" s="283">
        <f>'3.sz.m Önk  bev.'!G46</f>
        <v>0</v>
      </c>
      <c r="H48" s="283">
        <f>'3.sz.m Önk  bev.'!H46</f>
        <v>168644474</v>
      </c>
      <c r="I48" s="283">
        <f>'3.sz.m Önk  bev.'!I46</f>
        <v>0</v>
      </c>
      <c r="J48" s="283">
        <f>'3.sz.m Önk  bev.'!J46</f>
        <v>0</v>
      </c>
      <c r="K48" s="283">
        <f>'3.sz.m Önk  bev.'!K46</f>
        <v>0</v>
      </c>
      <c r="L48" s="1124"/>
      <c r="M48" s="359">
        <f>'3.sz.m Önk  bev.'!M46</f>
        <v>0</v>
      </c>
      <c r="N48" s="283">
        <f>'3.sz.m Önk  bev.'!N46</f>
        <v>0</v>
      </c>
      <c r="O48" s="283">
        <f>'3.sz.m Önk  bev.'!O46</f>
        <v>0</v>
      </c>
      <c r="P48" s="283">
        <f>'3.sz.m Önk  bev.'!P46</f>
        <v>168644474</v>
      </c>
      <c r="Q48" s="283">
        <f>'3.sz.m Önk  bev.'!Q46</f>
        <v>0</v>
      </c>
      <c r="R48" s="283">
        <f>'3.sz.m Önk  bev.'!R46</f>
        <v>0</v>
      </c>
      <c r="S48" s="283">
        <f>'3.sz.m Önk  bev.'!S46</f>
        <v>0</v>
      </c>
      <c r="T48" s="1124"/>
      <c r="U48" s="359">
        <v>0</v>
      </c>
      <c r="V48" s="283"/>
      <c r="W48" s="283"/>
      <c r="X48" s="283"/>
      <c r="Y48" s="283"/>
      <c r="Z48" s="283"/>
      <c r="AA48" s="283"/>
      <c r="AB48" s="1124"/>
      <c r="AC48" s="359">
        <v>0</v>
      </c>
      <c r="AD48" s="359">
        <v>0</v>
      </c>
      <c r="AE48" s="359">
        <v>0</v>
      </c>
      <c r="AF48" s="359">
        <v>0</v>
      </c>
      <c r="AG48" s="359">
        <v>0</v>
      </c>
      <c r="AH48" s="359">
        <v>0</v>
      </c>
      <c r="AI48" s="359">
        <v>0</v>
      </c>
      <c r="AJ48" s="1124"/>
      <c r="AK48" s="1010"/>
    </row>
    <row r="49" spans="1:37" ht="21.75" customHeight="1" thickBot="1">
      <c r="A49" s="363"/>
      <c r="B49" s="90" t="s">
        <v>347</v>
      </c>
      <c r="C49" s="1440" t="s">
        <v>485</v>
      </c>
      <c r="D49" s="1440"/>
      <c r="E49" s="359"/>
      <c r="F49" s="283">
        <f>'3.sz.m Önk  bev.'!F47</f>
        <v>0</v>
      </c>
      <c r="G49" s="283">
        <f>'3.sz.m Önk  bev.'!G47</f>
        <v>0</v>
      </c>
      <c r="H49" s="283">
        <f>'3.sz.m Önk  bev.'!H47</f>
        <v>0</v>
      </c>
      <c r="I49" s="283">
        <f>'3.sz.m Önk  bev.'!I47</f>
        <v>0</v>
      </c>
      <c r="J49" s="283">
        <f>'3.sz.m Önk  bev.'!J47</f>
        <v>0</v>
      </c>
      <c r="K49" s="283">
        <f>'3.sz.m Önk  bev.'!K47</f>
        <v>0</v>
      </c>
      <c r="L49" s="1124"/>
      <c r="M49" s="359"/>
      <c r="N49" s="283"/>
      <c r="O49" s="283"/>
      <c r="P49" s="283">
        <f>'3.sz.m Önk  bev.'!P47</f>
        <v>0</v>
      </c>
      <c r="Q49" s="283">
        <f>'3.sz.m Önk  bev.'!Q47</f>
        <v>0</v>
      </c>
      <c r="R49" s="283">
        <f>'3.sz.m Önk  bev.'!R47</f>
        <v>0</v>
      </c>
      <c r="S49" s="283">
        <f>'3.sz.m Önk  bev.'!S47</f>
        <v>0</v>
      </c>
      <c r="T49" s="1124"/>
      <c r="U49" s="359">
        <v>0</v>
      </c>
      <c r="V49" s="283"/>
      <c r="W49" s="283"/>
      <c r="X49" s="283">
        <f>'3.sz.m Önk  bev.'!X47</f>
        <v>0</v>
      </c>
      <c r="Y49" s="283">
        <f>'3.sz.m Önk  bev.'!Y47</f>
        <v>0</v>
      </c>
      <c r="Z49" s="283">
        <f>'3.sz.m Önk  bev.'!Z47</f>
        <v>0</v>
      </c>
      <c r="AA49" s="283">
        <f>'3.sz.m Önk  bev.'!AA47</f>
        <v>0</v>
      </c>
      <c r="AB49" s="1124"/>
      <c r="AC49" s="359">
        <v>0</v>
      </c>
      <c r="AD49" s="359">
        <v>0</v>
      </c>
      <c r="AE49" s="359">
        <v>0</v>
      </c>
      <c r="AF49" s="359">
        <v>0</v>
      </c>
      <c r="AG49" s="359">
        <v>0</v>
      </c>
      <c r="AH49" s="359">
        <v>0</v>
      </c>
      <c r="AI49" s="359">
        <v>0</v>
      </c>
      <c r="AJ49" s="1124"/>
      <c r="AK49" s="1010"/>
    </row>
    <row r="50" spans="1:37" ht="21.75" customHeight="1" hidden="1" thickBot="1">
      <c r="A50" s="363"/>
      <c r="B50" s="101"/>
      <c r="C50" s="1457"/>
      <c r="D50" s="1458"/>
      <c r="E50" s="526"/>
      <c r="F50" s="527"/>
      <c r="G50" s="527"/>
      <c r="H50" s="527"/>
      <c r="I50" s="527"/>
      <c r="J50" s="527"/>
      <c r="K50" s="527"/>
      <c r="L50" s="1125" t="e">
        <f t="shared" si="5"/>
        <v>#DIV/0!</v>
      </c>
      <c r="M50" s="526"/>
      <c r="N50" s="527"/>
      <c r="O50" s="527"/>
      <c r="P50" s="527"/>
      <c r="Q50" s="527"/>
      <c r="R50" s="527"/>
      <c r="S50" s="527"/>
      <c r="T50" s="1125" t="e">
        <f t="shared" si="7"/>
        <v>#DIV/0!</v>
      </c>
      <c r="U50" s="526"/>
      <c r="V50" s="527"/>
      <c r="W50" s="527"/>
      <c r="X50" s="527"/>
      <c r="Y50" s="527"/>
      <c r="Z50" s="527"/>
      <c r="AA50" s="527"/>
      <c r="AB50" s="1125" t="e">
        <f>+AA50/Z50</f>
        <v>#DIV/0!</v>
      </c>
      <c r="AC50" s="526"/>
      <c r="AD50" s="526"/>
      <c r="AE50" s="526"/>
      <c r="AF50" s="526"/>
      <c r="AG50" s="526"/>
      <c r="AH50" s="526"/>
      <c r="AI50" s="526"/>
      <c r="AJ50" s="1125"/>
      <c r="AK50" s="1010"/>
    </row>
    <row r="51" spans="1:37" ht="21.75" customHeight="1" thickBot="1">
      <c r="A51" s="100" t="s">
        <v>12</v>
      </c>
      <c r="B51" s="1433" t="s">
        <v>74</v>
      </c>
      <c r="C51" s="1433"/>
      <c r="D51" s="1433"/>
      <c r="E51" s="351">
        <f aca="true" t="shared" si="26" ref="E51:K51">E52+E53</f>
        <v>0</v>
      </c>
      <c r="F51" s="103">
        <f t="shared" si="26"/>
        <v>0</v>
      </c>
      <c r="G51" s="103">
        <f t="shared" si="26"/>
        <v>568000</v>
      </c>
      <c r="H51" s="103">
        <f t="shared" si="26"/>
        <v>568000</v>
      </c>
      <c r="I51" s="103">
        <f t="shared" si="26"/>
        <v>568000</v>
      </c>
      <c r="J51" s="103">
        <f t="shared" si="26"/>
        <v>568000</v>
      </c>
      <c r="K51" s="103">
        <f t="shared" si="26"/>
        <v>568000</v>
      </c>
      <c r="L51" s="1089">
        <f t="shared" si="5"/>
        <v>1</v>
      </c>
      <c r="M51" s="351">
        <f aca="true" t="shared" si="27" ref="M51:S51">M52+M53</f>
        <v>0</v>
      </c>
      <c r="N51" s="103">
        <f t="shared" si="27"/>
        <v>0</v>
      </c>
      <c r="O51" s="103">
        <f t="shared" si="27"/>
        <v>460000</v>
      </c>
      <c r="P51" s="103">
        <f t="shared" si="27"/>
        <v>460000</v>
      </c>
      <c r="Q51" s="103">
        <f t="shared" si="27"/>
        <v>460000</v>
      </c>
      <c r="R51" s="103">
        <f t="shared" si="27"/>
        <v>568000</v>
      </c>
      <c r="S51" s="103">
        <f t="shared" si="27"/>
        <v>568000</v>
      </c>
      <c r="T51" s="1089">
        <f t="shared" si="7"/>
        <v>1</v>
      </c>
      <c r="U51" s="351">
        <f aca="true" t="shared" si="28" ref="U51:Z51">U52+U53</f>
        <v>0</v>
      </c>
      <c r="V51" s="103">
        <f t="shared" si="28"/>
        <v>0</v>
      </c>
      <c r="W51" s="103">
        <f t="shared" si="28"/>
        <v>0</v>
      </c>
      <c r="X51" s="103">
        <f t="shared" si="28"/>
        <v>0</v>
      </c>
      <c r="Y51" s="103">
        <f t="shared" si="28"/>
        <v>0</v>
      </c>
      <c r="Z51" s="103">
        <f t="shared" si="28"/>
        <v>0</v>
      </c>
      <c r="AA51" s="103">
        <f>AA52+AA53</f>
        <v>0</v>
      </c>
      <c r="AB51" s="1089"/>
      <c r="AC51" s="351">
        <f aca="true" t="shared" si="29" ref="AC51:AH51">AC52+AC53</f>
        <v>0</v>
      </c>
      <c r="AD51" s="351">
        <f t="shared" si="29"/>
        <v>0</v>
      </c>
      <c r="AE51" s="351">
        <f t="shared" si="29"/>
        <v>0</v>
      </c>
      <c r="AF51" s="351">
        <f t="shared" si="29"/>
        <v>0</v>
      </c>
      <c r="AG51" s="351">
        <f t="shared" si="29"/>
        <v>0</v>
      </c>
      <c r="AH51" s="351">
        <f t="shared" si="29"/>
        <v>0</v>
      </c>
      <c r="AI51" s="351">
        <f>AI52+AI53</f>
        <v>0</v>
      </c>
      <c r="AJ51" s="1089"/>
      <c r="AK51" s="1010"/>
    </row>
    <row r="52" spans="1:37" s="7" customFormat="1" ht="21.75" customHeight="1">
      <c r="A52" s="102"/>
      <c r="B52" s="101" t="s">
        <v>44</v>
      </c>
      <c r="C52" s="1448" t="s">
        <v>334</v>
      </c>
      <c r="D52" s="1448"/>
      <c r="E52" s="359">
        <f>'3.sz.m Önk  bev.'!E50</f>
        <v>0</v>
      </c>
      <c r="F52" s="283">
        <f>'3.sz.m Önk  bev.'!F50</f>
        <v>0</v>
      </c>
      <c r="G52" s="283">
        <f>'3.sz.m Önk  bev.'!G50+'5.2 sz. m ÁMK'!F24</f>
        <v>368000</v>
      </c>
      <c r="H52" s="283">
        <f>'3.sz.m Önk  bev.'!H50+'5.2 sz. m ÁMK'!G24</f>
        <v>368000</v>
      </c>
      <c r="I52" s="283">
        <f>'3.sz.m Önk  bev.'!I50+'5.2 sz. m ÁMK'!H24</f>
        <v>368000</v>
      </c>
      <c r="J52" s="283">
        <f>'3.sz.m Önk  bev.'!J50+'5.2 sz. m ÁMK'!I24</f>
        <v>368000</v>
      </c>
      <c r="K52" s="283">
        <f>'3.sz.m Önk  bev.'!K50+'5.2 sz. m ÁMK'!J24</f>
        <v>368000</v>
      </c>
      <c r="L52" s="1124">
        <f t="shared" si="5"/>
        <v>1</v>
      </c>
      <c r="M52" s="359">
        <f>'3.sz.m Önk  bev.'!M50</f>
        <v>0</v>
      </c>
      <c r="N52" s="359">
        <f>'3.sz.m Önk  bev.'!N50</f>
        <v>0</v>
      </c>
      <c r="O52" s="359">
        <f>'3.sz.m Önk  bev.'!O50</f>
        <v>260000</v>
      </c>
      <c r="P52" s="359">
        <f>'3.sz.m Önk  bev.'!P50</f>
        <v>260000</v>
      </c>
      <c r="Q52" s="359">
        <f>'3.sz.m Önk  bev.'!Q50</f>
        <v>260000</v>
      </c>
      <c r="R52" s="359">
        <f>'3.sz.m Önk  bev.'!R50+'5.2 sz. m ÁMK'!I24</f>
        <v>368000</v>
      </c>
      <c r="S52" s="359">
        <f>'3.sz.m Önk  bev.'!S50+'5.2 sz. m ÁMK'!J24</f>
        <v>368000</v>
      </c>
      <c r="T52" s="1124">
        <f t="shared" si="7"/>
        <v>1</v>
      </c>
      <c r="U52" s="359">
        <v>0</v>
      </c>
      <c r="V52" s="283"/>
      <c r="W52" s="283"/>
      <c r="X52" s="283"/>
      <c r="Y52" s="283"/>
      <c r="Z52" s="283"/>
      <c r="AA52" s="283"/>
      <c r="AB52" s="1124"/>
      <c r="AC52" s="359">
        <v>0</v>
      </c>
      <c r="AD52" s="359">
        <v>0</v>
      </c>
      <c r="AE52" s="359">
        <v>0</v>
      </c>
      <c r="AF52" s="359">
        <v>0</v>
      </c>
      <c r="AG52" s="359">
        <v>0</v>
      </c>
      <c r="AH52" s="359">
        <v>0</v>
      </c>
      <c r="AI52" s="359">
        <v>0</v>
      </c>
      <c r="AJ52" s="1124"/>
      <c r="AK52" s="1010"/>
    </row>
    <row r="53" spans="1:37" ht="21.75" customHeight="1" thickBot="1">
      <c r="A53" s="93"/>
      <c r="B53" s="89" t="s">
        <v>45</v>
      </c>
      <c r="C53" s="1440" t="s">
        <v>469</v>
      </c>
      <c r="D53" s="1440"/>
      <c r="E53" s="359">
        <f>'3.sz.m Önk  bev.'!E51</f>
        <v>0</v>
      </c>
      <c r="F53" s="283">
        <f>'3.sz.m Önk  bev.'!F51</f>
        <v>0</v>
      </c>
      <c r="G53" s="283">
        <f>'3.sz.m Önk  bev.'!G51</f>
        <v>200000</v>
      </c>
      <c r="H53" s="283">
        <f>'3.sz.m Önk  bev.'!H51</f>
        <v>200000</v>
      </c>
      <c r="I53" s="283">
        <f>'3.sz.m Önk  bev.'!I51</f>
        <v>200000</v>
      </c>
      <c r="J53" s="283">
        <f>'3.sz.m Önk  bev.'!J51</f>
        <v>200000</v>
      </c>
      <c r="K53" s="283">
        <f>'3.sz.m Önk  bev.'!K51</f>
        <v>200000</v>
      </c>
      <c r="L53" s="1082">
        <f t="shared" si="5"/>
        <v>1</v>
      </c>
      <c r="M53" s="359">
        <f>'3.sz.m Önk  bev.'!M51</f>
        <v>0</v>
      </c>
      <c r="N53" s="283">
        <f>'3.sz.m Önk  bev.'!N51</f>
        <v>0</v>
      </c>
      <c r="O53" s="283">
        <f>'3.sz.m Önk  bev.'!O51</f>
        <v>200000</v>
      </c>
      <c r="P53" s="283">
        <f>'3.sz.m Önk  bev.'!P51</f>
        <v>200000</v>
      </c>
      <c r="Q53" s="283">
        <f>'3.sz.m Önk  bev.'!Q51</f>
        <v>200000</v>
      </c>
      <c r="R53" s="283">
        <f>'3.sz.m Önk  bev.'!R51</f>
        <v>200000</v>
      </c>
      <c r="S53" s="283">
        <f>'3.sz.m Önk  bev.'!S51</f>
        <v>200000</v>
      </c>
      <c r="T53" s="1082">
        <f t="shared" si="7"/>
        <v>1</v>
      </c>
      <c r="U53" s="359">
        <v>0</v>
      </c>
      <c r="V53" s="283"/>
      <c r="W53" s="283"/>
      <c r="X53" s="283"/>
      <c r="Y53" s="283"/>
      <c r="Z53" s="283"/>
      <c r="AA53" s="283"/>
      <c r="AB53" s="1082"/>
      <c r="AC53" s="359">
        <v>0</v>
      </c>
      <c r="AD53" s="359">
        <v>0</v>
      </c>
      <c r="AE53" s="359">
        <v>0</v>
      </c>
      <c r="AF53" s="359">
        <v>0</v>
      </c>
      <c r="AG53" s="359">
        <v>0</v>
      </c>
      <c r="AH53" s="359">
        <v>0</v>
      </c>
      <c r="AI53" s="359">
        <v>0</v>
      </c>
      <c r="AJ53" s="1082"/>
      <c r="AK53" s="1010"/>
    </row>
    <row r="54" spans="1:37" ht="21.75" customHeight="1" thickBot="1">
      <c r="A54" s="100" t="s">
        <v>13</v>
      </c>
      <c r="B54" s="1433" t="s">
        <v>323</v>
      </c>
      <c r="C54" s="1433"/>
      <c r="D54" s="1433"/>
      <c r="E54" s="346">
        <f aca="true" t="shared" si="30" ref="E54:K54">SUM(E55:E56)</f>
        <v>33000000</v>
      </c>
      <c r="F54" s="284">
        <f t="shared" si="30"/>
        <v>33000000</v>
      </c>
      <c r="G54" s="284">
        <f t="shared" si="30"/>
        <v>33080000</v>
      </c>
      <c r="H54" s="284">
        <f t="shared" si="30"/>
        <v>33080000</v>
      </c>
      <c r="I54" s="284">
        <f t="shared" si="30"/>
        <v>33080000</v>
      </c>
      <c r="J54" s="284">
        <f t="shared" si="30"/>
        <v>31687000</v>
      </c>
      <c r="K54" s="284">
        <f t="shared" si="30"/>
        <v>31687000</v>
      </c>
      <c r="L54" s="1089">
        <f t="shared" si="5"/>
        <v>1</v>
      </c>
      <c r="M54" s="346">
        <f aca="true" t="shared" si="31" ref="M54:S54">SUM(M55:M56)</f>
        <v>33000000</v>
      </c>
      <c r="N54" s="284">
        <f t="shared" si="31"/>
        <v>33000000</v>
      </c>
      <c r="O54" s="284">
        <f t="shared" si="31"/>
        <v>33080000</v>
      </c>
      <c r="P54" s="284">
        <f t="shared" si="31"/>
        <v>33080000</v>
      </c>
      <c r="Q54" s="284">
        <f t="shared" si="31"/>
        <v>33080000</v>
      </c>
      <c r="R54" s="284">
        <f t="shared" si="31"/>
        <v>31687000</v>
      </c>
      <c r="S54" s="284">
        <f t="shared" si="31"/>
        <v>31687000</v>
      </c>
      <c r="T54" s="1089">
        <f t="shared" si="7"/>
        <v>1</v>
      </c>
      <c r="U54" s="346">
        <f aca="true" t="shared" si="32" ref="U54:Z54">SUM(U55:U56)</f>
        <v>0</v>
      </c>
      <c r="V54" s="284">
        <f t="shared" si="32"/>
        <v>0</v>
      </c>
      <c r="W54" s="284">
        <f t="shared" si="32"/>
        <v>0</v>
      </c>
      <c r="X54" s="284">
        <f t="shared" si="32"/>
        <v>0</v>
      </c>
      <c r="Y54" s="284">
        <f t="shared" si="32"/>
        <v>0</v>
      </c>
      <c r="Z54" s="284">
        <f t="shared" si="32"/>
        <v>0</v>
      </c>
      <c r="AA54" s="284">
        <f>SUM(AA55:AA56)</f>
        <v>0</v>
      </c>
      <c r="AB54" s="1089"/>
      <c r="AC54" s="346">
        <f aca="true" t="shared" si="33" ref="AC54:AH54">SUM(AC55:AC56)</f>
        <v>0</v>
      </c>
      <c r="AD54" s="346">
        <f t="shared" si="33"/>
        <v>0</v>
      </c>
      <c r="AE54" s="346">
        <f t="shared" si="33"/>
        <v>0</v>
      </c>
      <c r="AF54" s="346">
        <f t="shared" si="33"/>
        <v>0</v>
      </c>
      <c r="AG54" s="346">
        <f t="shared" si="33"/>
        <v>0</v>
      </c>
      <c r="AH54" s="346">
        <f t="shared" si="33"/>
        <v>0</v>
      </c>
      <c r="AI54" s="346">
        <f>SUM(AI55:AI56)</f>
        <v>0</v>
      </c>
      <c r="AJ54" s="1089"/>
      <c r="AK54" s="1010"/>
    </row>
    <row r="55" spans="1:37" s="7" customFormat="1" ht="21.75" customHeight="1">
      <c r="A55" s="102"/>
      <c r="B55" s="95" t="s">
        <v>46</v>
      </c>
      <c r="C55" s="1448" t="s">
        <v>325</v>
      </c>
      <c r="D55" s="1448"/>
      <c r="E55" s="347">
        <f>'3.sz.m Önk  bev.'!E53</f>
        <v>33000000</v>
      </c>
      <c r="F55" s="285">
        <f>'3.sz.m Önk  bev.'!F53</f>
        <v>33000000</v>
      </c>
      <c r="G55" s="285">
        <f>'3.sz.m Önk  bev.'!G53</f>
        <v>33080000</v>
      </c>
      <c r="H55" s="285">
        <f>'3.sz.m Önk  bev.'!H53</f>
        <v>33080000</v>
      </c>
      <c r="I55" s="285">
        <f>'3.sz.m Önk  bev.'!I53</f>
        <v>33080000</v>
      </c>
      <c r="J55" s="285">
        <f>'3.sz.m Önk  bev.'!J53</f>
        <v>31687000</v>
      </c>
      <c r="K55" s="285">
        <f>'3.sz.m Önk  bev.'!K53</f>
        <v>31687000</v>
      </c>
      <c r="L55" s="1124">
        <f t="shared" si="5"/>
        <v>1</v>
      </c>
      <c r="M55" s="347">
        <f>'3.sz.m Önk  bev.'!M53</f>
        <v>33000000</v>
      </c>
      <c r="N55" s="285">
        <f>'3.sz.m Önk  bev.'!N53</f>
        <v>33000000</v>
      </c>
      <c r="O55" s="285">
        <f>'3.sz.m Önk  bev.'!O53</f>
        <v>33080000</v>
      </c>
      <c r="P55" s="285">
        <f>'3.sz.m Önk  bev.'!P53</f>
        <v>33080000</v>
      </c>
      <c r="Q55" s="285">
        <f>'3.sz.m Önk  bev.'!Q53</f>
        <v>33080000</v>
      </c>
      <c r="R55" s="285">
        <f>'3.sz.m Önk  bev.'!R53</f>
        <v>31687000</v>
      </c>
      <c r="S55" s="285">
        <f>'3.sz.m Önk  bev.'!S53</f>
        <v>31687000</v>
      </c>
      <c r="T55" s="1124">
        <f t="shared" si="7"/>
        <v>1</v>
      </c>
      <c r="U55" s="347">
        <v>0</v>
      </c>
      <c r="V55" s="285"/>
      <c r="W55" s="285"/>
      <c r="X55" s="285"/>
      <c r="Y55" s="285"/>
      <c r="Z55" s="285"/>
      <c r="AA55" s="285"/>
      <c r="AB55" s="1124"/>
      <c r="AC55" s="347">
        <v>0</v>
      </c>
      <c r="AD55" s="347">
        <v>0</v>
      </c>
      <c r="AE55" s="347">
        <v>0</v>
      </c>
      <c r="AF55" s="347">
        <v>0</v>
      </c>
      <c r="AG55" s="347">
        <v>0</v>
      </c>
      <c r="AH55" s="347">
        <v>0</v>
      </c>
      <c r="AI55" s="347">
        <v>0</v>
      </c>
      <c r="AJ55" s="1124"/>
      <c r="AK55" s="1010"/>
    </row>
    <row r="56" spans="1:37" ht="21.75" customHeight="1" thickBot="1">
      <c r="A56" s="97"/>
      <c r="B56" s="98" t="s">
        <v>324</v>
      </c>
      <c r="C56" s="1439" t="s">
        <v>326</v>
      </c>
      <c r="D56" s="1439"/>
      <c r="E56" s="360">
        <v>0</v>
      </c>
      <c r="F56" s="361">
        <v>0</v>
      </c>
      <c r="G56" s="361">
        <v>0</v>
      </c>
      <c r="H56" s="361">
        <v>0</v>
      </c>
      <c r="I56" s="361">
        <v>0</v>
      </c>
      <c r="J56" s="361">
        <v>0</v>
      </c>
      <c r="K56" s="361">
        <v>0</v>
      </c>
      <c r="L56" s="1086"/>
      <c r="M56" s="360">
        <v>0</v>
      </c>
      <c r="N56" s="361">
        <v>0</v>
      </c>
      <c r="O56" s="361">
        <v>0</v>
      </c>
      <c r="P56" s="361"/>
      <c r="Q56" s="361"/>
      <c r="R56" s="361"/>
      <c r="S56" s="361"/>
      <c r="T56" s="1086"/>
      <c r="U56" s="360">
        <v>0</v>
      </c>
      <c r="V56" s="361"/>
      <c r="W56" s="361"/>
      <c r="X56" s="361"/>
      <c r="Y56" s="361"/>
      <c r="Z56" s="361"/>
      <c r="AA56" s="361"/>
      <c r="AB56" s="1086"/>
      <c r="AC56" s="360">
        <v>0</v>
      </c>
      <c r="AD56" s="360">
        <v>0</v>
      </c>
      <c r="AE56" s="360">
        <v>0</v>
      </c>
      <c r="AF56" s="360">
        <v>0</v>
      </c>
      <c r="AG56" s="360">
        <v>0</v>
      </c>
      <c r="AH56" s="360">
        <v>0</v>
      </c>
      <c r="AI56" s="360">
        <v>0</v>
      </c>
      <c r="AJ56" s="1086"/>
      <c r="AK56" s="1010"/>
    </row>
    <row r="57" spans="1:37" ht="21.75" customHeight="1" thickBot="1">
      <c r="A57" s="100" t="s">
        <v>14</v>
      </c>
      <c r="B57" s="1449" t="s">
        <v>76</v>
      </c>
      <c r="C57" s="1449"/>
      <c r="D57" s="1449"/>
      <c r="E57" s="346">
        <f aca="true" t="shared" si="34" ref="E57:K57">E7+E21+E43+E51+E54+E34</f>
        <v>552641323</v>
      </c>
      <c r="F57" s="284">
        <f t="shared" si="34"/>
        <v>552706963</v>
      </c>
      <c r="G57" s="284">
        <f t="shared" si="34"/>
        <v>558201028</v>
      </c>
      <c r="H57" s="284">
        <f t="shared" si="34"/>
        <v>735531650</v>
      </c>
      <c r="I57" s="284">
        <f t="shared" si="34"/>
        <v>746122382</v>
      </c>
      <c r="J57" s="284">
        <f t="shared" si="34"/>
        <v>763625900</v>
      </c>
      <c r="K57" s="284">
        <f t="shared" si="34"/>
        <v>755807256</v>
      </c>
      <c r="L57" s="1079">
        <f t="shared" si="5"/>
        <v>0.9897611592273128</v>
      </c>
      <c r="M57" s="346">
        <f aca="true" t="shared" si="35" ref="M57:S57">M7+M21+M43+M51+M54+M34</f>
        <v>531695841</v>
      </c>
      <c r="N57" s="284">
        <f t="shared" si="35"/>
        <v>529770978</v>
      </c>
      <c r="O57" s="284">
        <f t="shared" si="35"/>
        <v>535312300</v>
      </c>
      <c r="P57" s="284">
        <f t="shared" si="35"/>
        <v>712642919</v>
      </c>
      <c r="Q57" s="284">
        <f t="shared" si="35"/>
        <v>723163648</v>
      </c>
      <c r="R57" s="284">
        <f t="shared" si="35"/>
        <v>743475269</v>
      </c>
      <c r="S57" s="284">
        <f t="shared" si="35"/>
        <v>735656625</v>
      </c>
      <c r="T57" s="1079">
        <f t="shared" si="7"/>
        <v>0.9894836528852986</v>
      </c>
      <c r="U57" s="346">
        <f aca="true" t="shared" si="36" ref="U57:Z57">U7+U21+U43+U51+U54+U34</f>
        <v>20945482</v>
      </c>
      <c r="V57" s="284">
        <f t="shared" si="36"/>
        <v>22935985</v>
      </c>
      <c r="W57" s="284">
        <f t="shared" si="36"/>
        <v>22780728</v>
      </c>
      <c r="X57" s="284">
        <f t="shared" si="36"/>
        <v>22780731</v>
      </c>
      <c r="Y57" s="284">
        <f t="shared" si="36"/>
        <v>22850734</v>
      </c>
      <c r="Z57" s="284">
        <f t="shared" si="36"/>
        <v>20150631</v>
      </c>
      <c r="AA57" s="284">
        <f>AA7+AA21+AA43+AA51+AA54+AA34</f>
        <v>20150631</v>
      </c>
      <c r="AB57" s="1079">
        <f>+AA57/Z57</f>
        <v>1</v>
      </c>
      <c r="AC57" s="346">
        <f aca="true" t="shared" si="37" ref="AC57:AH57">AC7+AC21+AC43+AC51+AC54+AC34</f>
        <v>5610894</v>
      </c>
      <c r="AD57" s="346">
        <f t="shared" si="37"/>
        <v>5610894</v>
      </c>
      <c r="AE57" s="346">
        <f t="shared" si="37"/>
        <v>5610894</v>
      </c>
      <c r="AF57" s="346">
        <f t="shared" si="37"/>
        <v>5610894</v>
      </c>
      <c r="AG57" s="346">
        <f t="shared" si="37"/>
        <v>5610894</v>
      </c>
      <c r="AH57" s="346">
        <f t="shared" si="37"/>
        <v>5610894</v>
      </c>
      <c r="AI57" s="346">
        <f>AI7+AI21+AI43+AI51+AI54+AI34</f>
        <v>5610894</v>
      </c>
      <c r="AJ57" s="1079">
        <f>+AI57/AH57</f>
        <v>1</v>
      </c>
      <c r="AK57" s="1010"/>
    </row>
    <row r="58" spans="1:37" ht="24" customHeight="1" thickBot="1">
      <c r="A58" s="96" t="s">
        <v>57</v>
      </c>
      <c r="B58" s="1433" t="s">
        <v>327</v>
      </c>
      <c r="C58" s="1433"/>
      <c r="D58" s="1433"/>
      <c r="E58" s="346">
        <f aca="true" t="shared" si="38" ref="E58:K58">SUM(E59:E61)</f>
        <v>146539860</v>
      </c>
      <c r="F58" s="284">
        <f t="shared" si="38"/>
        <v>146474220</v>
      </c>
      <c r="G58" s="284">
        <f t="shared" si="38"/>
        <v>146474220</v>
      </c>
      <c r="H58" s="284">
        <f t="shared" si="38"/>
        <v>146474220</v>
      </c>
      <c r="I58" s="284">
        <f t="shared" si="38"/>
        <v>146474220</v>
      </c>
      <c r="J58" s="284">
        <f t="shared" si="38"/>
        <v>156238600</v>
      </c>
      <c r="K58" s="284">
        <f t="shared" si="38"/>
        <v>156238600</v>
      </c>
      <c r="L58" s="1079">
        <f t="shared" si="5"/>
        <v>1</v>
      </c>
      <c r="M58" s="346">
        <f aca="true" t="shared" si="39" ref="M58:S58">SUM(M59:M61)</f>
        <v>146539860</v>
      </c>
      <c r="N58" s="284">
        <f t="shared" si="39"/>
        <v>146474220</v>
      </c>
      <c r="O58" s="284">
        <f t="shared" si="39"/>
        <v>146474220</v>
      </c>
      <c r="P58" s="284">
        <f t="shared" si="39"/>
        <v>146474220</v>
      </c>
      <c r="Q58" s="284">
        <f t="shared" si="39"/>
        <v>146474220</v>
      </c>
      <c r="R58" s="284">
        <f t="shared" si="39"/>
        <v>156238600</v>
      </c>
      <c r="S58" s="284">
        <f t="shared" si="39"/>
        <v>156238600</v>
      </c>
      <c r="T58" s="1079">
        <f t="shared" si="7"/>
        <v>1</v>
      </c>
      <c r="U58" s="346">
        <f aca="true" t="shared" si="40" ref="U58:Z58">SUM(U59:U61)</f>
        <v>0</v>
      </c>
      <c r="V58" s="284">
        <f t="shared" si="40"/>
        <v>0</v>
      </c>
      <c r="W58" s="284">
        <f t="shared" si="40"/>
        <v>0</v>
      </c>
      <c r="X58" s="284">
        <f t="shared" si="40"/>
        <v>0</v>
      </c>
      <c r="Y58" s="284">
        <f t="shared" si="40"/>
        <v>0</v>
      </c>
      <c r="Z58" s="284">
        <f t="shared" si="40"/>
        <v>0</v>
      </c>
      <c r="AA58" s="284">
        <f>SUM(AA59:AA61)</f>
        <v>0</v>
      </c>
      <c r="AB58" s="1079"/>
      <c r="AC58" s="346">
        <f aca="true" t="shared" si="41" ref="AC58:AH58">SUM(AC59:AC61)</f>
        <v>0</v>
      </c>
      <c r="AD58" s="346">
        <f t="shared" si="41"/>
        <v>0</v>
      </c>
      <c r="AE58" s="346">
        <f t="shared" si="41"/>
        <v>0</v>
      </c>
      <c r="AF58" s="346">
        <f t="shared" si="41"/>
        <v>0</v>
      </c>
      <c r="AG58" s="346">
        <f t="shared" si="41"/>
        <v>0</v>
      </c>
      <c r="AH58" s="346">
        <f t="shared" si="41"/>
        <v>0</v>
      </c>
      <c r="AI58" s="346">
        <f>SUM(AI59:AI61)</f>
        <v>0</v>
      </c>
      <c r="AJ58" s="1079"/>
      <c r="AK58" s="1010"/>
    </row>
    <row r="59" spans="1:37" ht="21.75" customHeight="1">
      <c r="A59" s="94"/>
      <c r="B59" s="95" t="s">
        <v>47</v>
      </c>
      <c r="C59" s="1448" t="s">
        <v>626</v>
      </c>
      <c r="D59" s="1448"/>
      <c r="E59" s="359">
        <f>'3.sz.m Önk  bev.'!E57</f>
        <v>0</v>
      </c>
      <c r="F59" s="283">
        <f>'3.sz.m Önk  bev.'!F57</f>
        <v>0</v>
      </c>
      <c r="G59" s="283">
        <f>'3.sz.m Önk  bev.'!G57</f>
        <v>0</v>
      </c>
      <c r="H59" s="283">
        <f>'3.sz.m Önk  bev.'!H57</f>
        <v>0</v>
      </c>
      <c r="I59" s="283">
        <f>'3.sz.m Önk  bev.'!I57</f>
        <v>0</v>
      </c>
      <c r="J59" s="283">
        <f>'3.sz.m Önk  bev.'!J57</f>
        <v>9764380</v>
      </c>
      <c r="K59" s="283">
        <f>'3.sz.m Önk  bev.'!K57</f>
        <v>9764380</v>
      </c>
      <c r="L59" s="1080">
        <f t="shared" si="5"/>
        <v>1</v>
      </c>
      <c r="M59" s="359">
        <f>'3.sz.m Önk  bev.'!M57</f>
        <v>0</v>
      </c>
      <c r="N59" s="283">
        <f>'3.sz.m Önk  bev.'!N57</f>
        <v>0</v>
      </c>
      <c r="O59" s="283">
        <f>'3.sz.m Önk  bev.'!O57</f>
        <v>0</v>
      </c>
      <c r="P59" s="283">
        <f>H59</f>
        <v>0</v>
      </c>
      <c r="Q59" s="283">
        <f>I59</f>
        <v>0</v>
      </c>
      <c r="R59" s="283">
        <f>J59</f>
        <v>9764380</v>
      </c>
      <c r="S59" s="283">
        <f>K59</f>
        <v>9764380</v>
      </c>
      <c r="T59" s="1080">
        <f t="shared" si="7"/>
        <v>1</v>
      </c>
      <c r="U59" s="359">
        <v>0</v>
      </c>
      <c r="V59" s="283"/>
      <c r="W59" s="283"/>
      <c r="X59" s="283"/>
      <c r="Y59" s="283"/>
      <c r="Z59" s="283"/>
      <c r="AA59" s="283"/>
      <c r="AB59" s="1080"/>
      <c r="AC59" s="359">
        <v>0</v>
      </c>
      <c r="AD59" s="359">
        <v>0</v>
      </c>
      <c r="AE59" s="359">
        <v>0</v>
      </c>
      <c r="AF59" s="359">
        <v>0</v>
      </c>
      <c r="AG59" s="359">
        <v>0</v>
      </c>
      <c r="AH59" s="359">
        <v>0</v>
      </c>
      <c r="AI59" s="359">
        <v>0</v>
      </c>
      <c r="AJ59" s="1080"/>
      <c r="AK59" s="1010"/>
    </row>
    <row r="60" spans="1:37" ht="21.75" customHeight="1">
      <c r="A60" s="93"/>
      <c r="B60" s="90" t="s">
        <v>48</v>
      </c>
      <c r="C60" s="1448" t="s">
        <v>540</v>
      </c>
      <c r="D60" s="1448"/>
      <c r="E60" s="359">
        <f>'3.sz.m Önk  bev.'!E58</f>
        <v>28770000</v>
      </c>
      <c r="F60" s="283">
        <f>'3.sz.m Önk  bev.'!F58</f>
        <v>28770000</v>
      </c>
      <c r="G60" s="283">
        <f>'3.sz.m Önk  bev.'!G58</f>
        <v>28770000</v>
      </c>
      <c r="H60" s="283">
        <f>'3.sz.m Önk  bev.'!H58</f>
        <v>28770000</v>
      </c>
      <c r="I60" s="283">
        <f>'3.sz.m Önk  bev.'!I58</f>
        <v>28770000</v>
      </c>
      <c r="J60" s="283">
        <f>'3.sz.m Önk  bev.'!J58</f>
        <v>28770000</v>
      </c>
      <c r="K60" s="283">
        <f>'3.sz.m Önk  bev.'!K58</f>
        <v>28770000</v>
      </c>
      <c r="L60" s="1082">
        <f t="shared" si="5"/>
        <v>1</v>
      </c>
      <c r="M60" s="359">
        <f>'3.sz.m Önk  bev.'!M58</f>
        <v>28770000</v>
      </c>
      <c r="N60" s="283">
        <f>'3.sz.m Önk  bev.'!N58</f>
        <v>28770000</v>
      </c>
      <c r="O60" s="283">
        <f>'3.sz.m Önk  bev.'!O58</f>
        <v>28770000</v>
      </c>
      <c r="P60" s="283">
        <f>'3.sz.m Önk  bev.'!P58</f>
        <v>28770000</v>
      </c>
      <c r="Q60" s="283">
        <f>'3.sz.m Önk  bev.'!Q58</f>
        <v>28770000</v>
      </c>
      <c r="R60" s="283">
        <f>'3.sz.m Önk  bev.'!R58</f>
        <v>28770000</v>
      </c>
      <c r="S60" s="283">
        <f>'3.sz.m Önk  bev.'!S58</f>
        <v>28770000</v>
      </c>
      <c r="T60" s="1082">
        <f t="shared" si="7"/>
        <v>1</v>
      </c>
      <c r="U60" s="359">
        <v>0</v>
      </c>
      <c r="V60" s="283"/>
      <c r="W60" s="283"/>
      <c r="X60" s="283"/>
      <c r="Y60" s="283"/>
      <c r="Z60" s="283"/>
      <c r="AA60" s="283"/>
      <c r="AB60" s="1082"/>
      <c r="AC60" s="359">
        <v>0</v>
      </c>
      <c r="AD60" s="359">
        <v>0</v>
      </c>
      <c r="AE60" s="359">
        <v>0</v>
      </c>
      <c r="AF60" s="359">
        <v>0</v>
      </c>
      <c r="AG60" s="359">
        <v>0</v>
      </c>
      <c r="AH60" s="359">
        <v>0</v>
      </c>
      <c r="AI60" s="359">
        <v>0</v>
      </c>
      <c r="AJ60" s="1082"/>
      <c r="AK60" s="1010"/>
    </row>
    <row r="61" spans="1:37" ht="21.75" customHeight="1" thickBot="1">
      <c r="A61" s="93"/>
      <c r="B61" s="90" t="s">
        <v>75</v>
      </c>
      <c r="C61" s="1448" t="s">
        <v>328</v>
      </c>
      <c r="D61" s="1448"/>
      <c r="E61" s="359">
        <f>'3.sz.m Önk  bev.'!E59+'5.1 sz. m Köz Hiv'!D26+'5.2 sz. m ÁMK'!D29</f>
        <v>117769860</v>
      </c>
      <c r="F61" s="283">
        <f>'3.sz.m Önk  bev.'!F59+'5.1 sz. m Köz Hiv'!E26+'5.2 sz. m ÁMK'!E29</f>
        <v>117704220</v>
      </c>
      <c r="G61" s="283">
        <f>'3.sz.m Önk  bev.'!G59+'5.1 sz. m Köz Hiv'!F26+'5.2 sz. m ÁMK'!F29</f>
        <v>117704220</v>
      </c>
      <c r="H61" s="283">
        <f>'3.sz.m Önk  bev.'!H59+'5.1 sz. m Köz Hiv'!G26+'5.2 sz. m ÁMK'!G29</f>
        <v>117704220</v>
      </c>
      <c r="I61" s="283">
        <f>'3.sz.m Önk  bev.'!I59+'5.1 sz. m Köz Hiv'!H26+'5.2 sz. m ÁMK'!H29</f>
        <v>117704220</v>
      </c>
      <c r="J61" s="283">
        <f>'3.sz.m Önk  bev.'!J59+'5.1 sz. m Köz Hiv'!I26+'5.2 sz. m ÁMK'!I29</f>
        <v>117704220</v>
      </c>
      <c r="K61" s="283">
        <f>'3.sz.m Önk  bev.'!K59+'5.1 sz. m Köz Hiv'!J26+'5.2 sz. m ÁMK'!J29</f>
        <v>117704220</v>
      </c>
      <c r="L61" s="1082">
        <f t="shared" si="5"/>
        <v>1</v>
      </c>
      <c r="M61" s="359">
        <f>'3.sz.m Önk  bev.'!M59+'5.1 sz. m Köz Hiv'!L26+'5.2 sz. m ÁMK'!L29</f>
        <v>117769860</v>
      </c>
      <c r="N61" s="283">
        <f>'3.sz.m Önk  bev.'!N59+'5.1 sz. m Köz Hiv'!M26+'5.2 sz. m ÁMK'!M29</f>
        <v>117704220</v>
      </c>
      <c r="O61" s="283">
        <f>'3.sz.m Önk  bev.'!O59+'5.1 sz. m Köz Hiv'!N26+'5.2 sz. m ÁMK'!N29</f>
        <v>117704220</v>
      </c>
      <c r="P61" s="283">
        <f>'3.sz.m Önk  bev.'!P59+'5.1 sz. m Köz Hiv'!O26+'5.2 sz. m ÁMK'!O29</f>
        <v>117704220</v>
      </c>
      <c r="Q61" s="283">
        <f>'3.sz.m Önk  bev.'!Q59+'5.1 sz. m Köz Hiv'!P26+'5.2 sz. m ÁMK'!P29</f>
        <v>117704220</v>
      </c>
      <c r="R61" s="283">
        <f>'3.sz.m Önk  bev.'!R59+'5.1 sz. m Köz Hiv'!Q26+'5.2 sz. m ÁMK'!Q29</f>
        <v>117704220</v>
      </c>
      <c r="S61" s="283">
        <f>'3.sz.m Önk  bev.'!S59+'5.1 sz. m Köz Hiv'!R26+'5.2 sz. m ÁMK'!R29</f>
        <v>117704220</v>
      </c>
      <c r="T61" s="1082">
        <f t="shared" si="7"/>
        <v>1</v>
      </c>
      <c r="U61" s="359">
        <v>0</v>
      </c>
      <c r="V61" s="283"/>
      <c r="W61" s="283"/>
      <c r="X61" s="283"/>
      <c r="Y61" s="283"/>
      <c r="Z61" s="283"/>
      <c r="AA61" s="283"/>
      <c r="AB61" s="1082"/>
      <c r="AC61" s="359">
        <v>0</v>
      </c>
      <c r="AD61" s="359">
        <v>0</v>
      </c>
      <c r="AE61" s="359">
        <v>0</v>
      </c>
      <c r="AF61" s="359">
        <v>0</v>
      </c>
      <c r="AG61" s="359">
        <v>0</v>
      </c>
      <c r="AH61" s="359">
        <v>0</v>
      </c>
      <c r="AI61" s="359">
        <v>0</v>
      </c>
      <c r="AJ61" s="1082"/>
      <c r="AK61" s="1010"/>
    </row>
    <row r="62" spans="1:37" ht="35.25" customHeight="1" thickBot="1">
      <c r="A62" s="100" t="s">
        <v>58</v>
      </c>
      <c r="B62" s="1447" t="s">
        <v>77</v>
      </c>
      <c r="C62" s="1447"/>
      <c r="D62" s="1447"/>
      <c r="E62" s="348">
        <f aca="true" t="shared" si="42" ref="E62:K62">E57+E58</f>
        <v>699181183</v>
      </c>
      <c r="F62" s="64">
        <f t="shared" si="42"/>
        <v>699181183</v>
      </c>
      <c r="G62" s="64">
        <f t="shared" si="42"/>
        <v>704675248</v>
      </c>
      <c r="H62" s="64">
        <f t="shared" si="42"/>
        <v>882005870</v>
      </c>
      <c r="I62" s="64">
        <f t="shared" si="42"/>
        <v>892596602</v>
      </c>
      <c r="J62" s="64">
        <f t="shared" si="42"/>
        <v>919864500</v>
      </c>
      <c r="K62" s="64">
        <f t="shared" si="42"/>
        <v>912045856</v>
      </c>
      <c r="L62" s="1084">
        <f t="shared" si="5"/>
        <v>0.9915002220435727</v>
      </c>
      <c r="M62" s="348">
        <f aca="true" t="shared" si="43" ref="M62:S62">M57+M58</f>
        <v>678235701</v>
      </c>
      <c r="N62" s="64">
        <f t="shared" si="43"/>
        <v>676245198</v>
      </c>
      <c r="O62" s="64">
        <f t="shared" si="43"/>
        <v>681786520</v>
      </c>
      <c r="P62" s="64">
        <f t="shared" si="43"/>
        <v>859117139</v>
      </c>
      <c r="Q62" s="64">
        <f t="shared" si="43"/>
        <v>869637868</v>
      </c>
      <c r="R62" s="64">
        <f t="shared" si="43"/>
        <v>899713869</v>
      </c>
      <c r="S62" s="64">
        <f t="shared" si="43"/>
        <v>891895225</v>
      </c>
      <c r="T62" s="1084">
        <f t="shared" si="7"/>
        <v>0.9913098549779052</v>
      </c>
      <c r="U62" s="348">
        <f aca="true" t="shared" si="44" ref="U62:Z62">U57+U58</f>
        <v>20945482</v>
      </c>
      <c r="V62" s="64">
        <f t="shared" si="44"/>
        <v>22935985</v>
      </c>
      <c r="W62" s="64">
        <f t="shared" si="44"/>
        <v>22780728</v>
      </c>
      <c r="X62" s="64">
        <f t="shared" si="44"/>
        <v>22780731</v>
      </c>
      <c r="Y62" s="64">
        <f t="shared" si="44"/>
        <v>22850734</v>
      </c>
      <c r="Z62" s="64">
        <f t="shared" si="44"/>
        <v>20150631</v>
      </c>
      <c r="AA62" s="64">
        <f>AA57+AA58</f>
        <v>20150631</v>
      </c>
      <c r="AB62" s="1084">
        <f>+AA62/Z62</f>
        <v>1</v>
      </c>
      <c r="AC62" s="348">
        <f aca="true" t="shared" si="45" ref="AC62:AH62">AC57+AC58</f>
        <v>5610894</v>
      </c>
      <c r="AD62" s="348">
        <f t="shared" si="45"/>
        <v>5610894</v>
      </c>
      <c r="AE62" s="348">
        <f t="shared" si="45"/>
        <v>5610894</v>
      </c>
      <c r="AF62" s="348">
        <f t="shared" si="45"/>
        <v>5610894</v>
      </c>
      <c r="AG62" s="348">
        <f t="shared" si="45"/>
        <v>5610894</v>
      </c>
      <c r="AH62" s="348">
        <f t="shared" si="45"/>
        <v>5610894</v>
      </c>
      <c r="AI62" s="348">
        <f>AI57+AI58</f>
        <v>5610894</v>
      </c>
      <c r="AJ62" s="1084">
        <f>+AI62/AH62</f>
        <v>1</v>
      </c>
      <c r="AK62" s="1010"/>
    </row>
    <row r="63" spans="1:37" ht="21.75" customHeight="1" hidden="1" thickBot="1">
      <c r="A63" s="1455" t="s">
        <v>245</v>
      </c>
      <c r="B63" s="1456"/>
      <c r="C63" s="1456"/>
      <c r="D63" s="1456"/>
      <c r="E63" s="528"/>
      <c r="F63" s="529"/>
      <c r="G63" s="529"/>
      <c r="H63" s="529"/>
      <c r="I63" s="529"/>
      <c r="J63" s="529"/>
      <c r="K63" s="529"/>
      <c r="L63" s="1091" t="e">
        <f t="shared" si="5"/>
        <v>#DIV/0!</v>
      </c>
      <c r="M63" s="528"/>
      <c r="N63" s="529"/>
      <c r="O63" s="529"/>
      <c r="P63" s="529"/>
      <c r="Q63" s="529"/>
      <c r="R63" s="529"/>
      <c r="S63" s="529"/>
      <c r="T63" s="1091" t="e">
        <f t="shared" si="7"/>
        <v>#DIV/0!</v>
      </c>
      <c r="U63" s="528"/>
      <c r="V63" s="529"/>
      <c r="W63" s="529"/>
      <c r="X63" s="529"/>
      <c r="Y63" s="529"/>
      <c r="Z63" s="529"/>
      <c r="AA63" s="529"/>
      <c r="AB63" s="1091" t="e">
        <f>+AA63/Z63</f>
        <v>#DIV/0!</v>
      </c>
      <c r="AC63" s="528"/>
      <c r="AD63" s="528"/>
      <c r="AE63" s="528"/>
      <c r="AF63" s="528"/>
      <c r="AG63" s="528"/>
      <c r="AH63" s="528"/>
      <c r="AI63" s="528"/>
      <c r="AJ63" s="1091" t="e">
        <f>+AI63/AH63</f>
        <v>#DIV/0!</v>
      </c>
      <c r="AK63" s="1010"/>
    </row>
    <row r="64" spans="1:37" ht="21.75" customHeight="1" thickBot="1">
      <c r="A64" s="1446" t="s">
        <v>7</v>
      </c>
      <c r="B64" s="1447"/>
      <c r="C64" s="1447"/>
      <c r="D64" s="1447"/>
      <c r="E64" s="383">
        <f aca="true" t="shared" si="46" ref="E64:K64">E62+E63</f>
        <v>699181183</v>
      </c>
      <c r="F64" s="384">
        <f t="shared" si="46"/>
        <v>699181183</v>
      </c>
      <c r="G64" s="384">
        <f t="shared" si="46"/>
        <v>704675248</v>
      </c>
      <c r="H64" s="384">
        <f t="shared" si="46"/>
        <v>882005870</v>
      </c>
      <c r="I64" s="384">
        <f t="shared" si="46"/>
        <v>892596602</v>
      </c>
      <c r="J64" s="384">
        <f t="shared" si="46"/>
        <v>919864500</v>
      </c>
      <c r="K64" s="384">
        <f t="shared" si="46"/>
        <v>912045856</v>
      </c>
      <c r="L64" s="1092">
        <f t="shared" si="5"/>
        <v>0.9915002220435727</v>
      </c>
      <c r="M64" s="383">
        <f aca="true" t="shared" si="47" ref="M64:S64">M62+M63</f>
        <v>678235701</v>
      </c>
      <c r="N64" s="384">
        <f t="shared" si="47"/>
        <v>676245198</v>
      </c>
      <c r="O64" s="384">
        <f t="shared" si="47"/>
        <v>681786520</v>
      </c>
      <c r="P64" s="940">
        <f t="shared" si="47"/>
        <v>859117139</v>
      </c>
      <c r="Q64" s="384">
        <f t="shared" si="47"/>
        <v>869637868</v>
      </c>
      <c r="R64" s="384">
        <f t="shared" si="47"/>
        <v>899713869</v>
      </c>
      <c r="S64" s="384">
        <f t="shared" si="47"/>
        <v>891895225</v>
      </c>
      <c r="T64" s="1092">
        <f t="shared" si="7"/>
        <v>0.9913098549779052</v>
      </c>
      <c r="U64" s="383">
        <f aca="true" t="shared" si="48" ref="U64:Z64">U62+U63</f>
        <v>20945482</v>
      </c>
      <c r="V64" s="384">
        <f t="shared" si="48"/>
        <v>22935985</v>
      </c>
      <c r="W64" s="384">
        <f t="shared" si="48"/>
        <v>22780728</v>
      </c>
      <c r="X64" s="384">
        <f t="shared" si="48"/>
        <v>22780731</v>
      </c>
      <c r="Y64" s="384">
        <f t="shared" si="48"/>
        <v>22850734</v>
      </c>
      <c r="Z64" s="384">
        <f t="shared" si="48"/>
        <v>20150631</v>
      </c>
      <c r="AA64" s="384">
        <f>AA62+AA63</f>
        <v>20150631</v>
      </c>
      <c r="AB64" s="1092">
        <f>+AA64/Z64</f>
        <v>1</v>
      </c>
      <c r="AC64" s="383">
        <f aca="true" t="shared" si="49" ref="AC64:AH64">AC62+AC63</f>
        <v>5610894</v>
      </c>
      <c r="AD64" s="383">
        <f t="shared" si="49"/>
        <v>5610894</v>
      </c>
      <c r="AE64" s="383">
        <f t="shared" si="49"/>
        <v>5610894</v>
      </c>
      <c r="AF64" s="383">
        <f t="shared" si="49"/>
        <v>5610894</v>
      </c>
      <c r="AG64" s="383">
        <f t="shared" si="49"/>
        <v>5610894</v>
      </c>
      <c r="AH64" s="383">
        <f t="shared" si="49"/>
        <v>5610894</v>
      </c>
      <c r="AI64" s="383">
        <f>AI62+AI63</f>
        <v>5610894</v>
      </c>
      <c r="AJ64" s="1092">
        <f>+AI64/AH64</f>
        <v>1</v>
      </c>
      <c r="AK64" s="1010"/>
    </row>
    <row r="65" spans="1:28" ht="21.75" customHeight="1">
      <c r="A65" s="530"/>
      <c r="B65" s="531"/>
      <c r="C65" s="531"/>
      <c r="D65" s="531"/>
      <c r="E65" s="878" t="str">
        <f>IF(M64+U64=E64," ","HIBA-nincs egyenlőség")</f>
        <v> </v>
      </c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851"/>
      <c r="R65" s="532"/>
      <c r="S65" s="532"/>
      <c r="T65" s="532"/>
      <c r="U65" s="532"/>
      <c r="V65" s="532"/>
      <c r="W65" s="532"/>
      <c r="X65" s="532"/>
      <c r="Y65" s="532"/>
      <c r="Z65" s="532"/>
      <c r="AA65" s="1100"/>
      <c r="AB65" s="1100"/>
    </row>
    <row r="66" spans="1:24" ht="21.75" customHeight="1">
      <c r="A66" s="79"/>
      <c r="B66" s="126"/>
      <c r="C66" s="126"/>
      <c r="D66" s="126"/>
      <c r="E66" s="315"/>
      <c r="F66" s="316"/>
      <c r="G66" s="315"/>
      <c r="H66" s="315"/>
      <c r="I66" s="315"/>
      <c r="J66" s="315"/>
      <c r="K66" s="315"/>
      <c r="L66" s="315"/>
      <c r="M66" s="316"/>
      <c r="V66" s="316"/>
      <c r="W66" s="316"/>
      <c r="X66" s="316"/>
    </row>
    <row r="67" spans="1:24" ht="35.25" customHeight="1">
      <c r="A67" s="79"/>
      <c r="B67" s="126"/>
      <c r="C67" s="126"/>
      <c r="D67" s="126"/>
      <c r="E67" s="316"/>
      <c r="F67" s="316"/>
      <c r="G67" s="316"/>
      <c r="H67" s="316"/>
      <c r="I67" s="315"/>
      <c r="J67" s="316"/>
      <c r="K67" s="315"/>
      <c r="L67" s="316"/>
      <c r="M67" s="316"/>
      <c r="N67" s="316"/>
      <c r="O67" s="316"/>
      <c r="P67" s="316"/>
      <c r="Q67" s="316"/>
      <c r="R67" s="316"/>
      <c r="S67" s="316"/>
      <c r="T67" s="316"/>
      <c r="V67" s="316"/>
      <c r="W67" s="316"/>
      <c r="X67" s="316"/>
    </row>
    <row r="68" spans="1:24" ht="35.25" customHeight="1">
      <c r="A68" s="79"/>
      <c r="B68" s="126"/>
      <c r="C68" s="126"/>
      <c r="D68" s="126"/>
      <c r="E68" s="316"/>
      <c r="F68" s="316"/>
      <c r="G68" s="316"/>
      <c r="H68" s="316"/>
      <c r="I68" s="315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V68" s="316"/>
      <c r="W68" s="316"/>
      <c r="X68" s="316"/>
    </row>
    <row r="69" spans="5:24" ht="12.75"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V69" s="316"/>
      <c r="W69" s="316"/>
      <c r="X69" s="316"/>
    </row>
    <row r="70" spans="5:24" ht="12.75"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V70" s="316"/>
      <c r="W70" s="316"/>
      <c r="X70" s="316"/>
    </row>
    <row r="71" spans="5:24" ht="12.75"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V71" s="316"/>
      <c r="W71" s="316"/>
      <c r="X71" s="316"/>
    </row>
    <row r="72" spans="4:24" ht="12.75">
      <c r="D72" s="87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V72" s="316"/>
      <c r="W72" s="316"/>
      <c r="X72" s="316"/>
    </row>
    <row r="73" spans="4:24" ht="48.75" customHeight="1">
      <c r="D73" s="87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V73" s="316"/>
      <c r="W73" s="316"/>
      <c r="X73" s="316"/>
    </row>
    <row r="74" spans="4:24" ht="46.5" customHeight="1">
      <c r="D74" s="87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V74" s="316"/>
      <c r="W74" s="316"/>
      <c r="X74" s="316"/>
    </row>
    <row r="75" spans="5:24" ht="41.25" customHeight="1"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V75" s="316"/>
      <c r="W75" s="316"/>
      <c r="X75" s="316"/>
    </row>
    <row r="76" spans="5:24" ht="12.75"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V76" s="316"/>
      <c r="W76" s="316"/>
      <c r="X76" s="316"/>
    </row>
    <row r="77" spans="5:24" ht="12.75"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V77" s="316"/>
      <c r="W77" s="316"/>
      <c r="X77" s="316"/>
    </row>
    <row r="78" spans="5:24" ht="12.75"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V78" s="316"/>
      <c r="W78" s="316"/>
      <c r="X78" s="316"/>
    </row>
    <row r="79" spans="5:24" ht="12.75"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V79" s="316"/>
      <c r="W79" s="316"/>
      <c r="X79" s="316"/>
    </row>
    <row r="80" spans="5:24" ht="12.75"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V80" s="316"/>
      <c r="W80" s="316"/>
      <c r="X80" s="316"/>
    </row>
    <row r="81" spans="5:24" ht="12.75"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V81" s="316"/>
      <c r="W81" s="316"/>
      <c r="X81" s="316"/>
    </row>
    <row r="82" spans="5:24" ht="12.75"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V82" s="316"/>
      <c r="W82" s="316"/>
      <c r="X82" s="316"/>
    </row>
    <row r="83" spans="5:24" ht="12.75"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V83" s="316"/>
      <c r="W83" s="316"/>
      <c r="X83" s="316"/>
    </row>
    <row r="84" spans="5:24" ht="12.75"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V84" s="316"/>
      <c r="W84" s="316"/>
      <c r="X84" s="316"/>
    </row>
    <row r="85" spans="5:24" ht="12.75"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V85" s="316"/>
      <c r="W85" s="316"/>
      <c r="X85" s="316"/>
    </row>
    <row r="86" spans="5:24" ht="12.75"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V86" s="316"/>
      <c r="W86" s="316"/>
      <c r="X86" s="316"/>
    </row>
    <row r="87" spans="5:24" ht="12.75"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V87" s="316"/>
      <c r="W87" s="316"/>
      <c r="X87" s="316"/>
    </row>
    <row r="88" spans="5:24" ht="12.75"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V88" s="316"/>
      <c r="W88" s="316"/>
      <c r="X88" s="316"/>
    </row>
    <row r="89" spans="5:24" ht="12.75"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V89" s="316"/>
      <c r="W89" s="316"/>
      <c r="X89" s="316"/>
    </row>
    <row r="90" spans="5:24" ht="12.75"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V90" s="316"/>
      <c r="W90" s="316"/>
      <c r="X90" s="316"/>
    </row>
    <row r="91" spans="5:24" ht="12.75"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V91" s="316"/>
      <c r="W91" s="316"/>
      <c r="X91" s="316"/>
    </row>
    <row r="92" spans="5:24" ht="12.75"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V92" s="316"/>
      <c r="W92" s="316"/>
      <c r="X92" s="316"/>
    </row>
    <row r="93" spans="5:24" ht="12.75"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V93" s="316"/>
      <c r="W93" s="316"/>
      <c r="X93" s="316"/>
    </row>
    <row r="94" spans="5:24" ht="12.75"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V94" s="316"/>
      <c r="W94" s="316"/>
      <c r="X94" s="316"/>
    </row>
    <row r="95" spans="5:24" ht="12.75"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V95" s="316"/>
      <c r="W95" s="316"/>
      <c r="X95" s="316"/>
    </row>
    <row r="96" spans="5:24" ht="12.75"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V96" s="316"/>
      <c r="W96" s="316"/>
      <c r="X96" s="316"/>
    </row>
    <row r="97" spans="5:24" ht="12.75"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V97" s="316"/>
      <c r="W97" s="316"/>
      <c r="X97" s="316"/>
    </row>
    <row r="98" spans="5:24" ht="12.75"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V98" s="316"/>
      <c r="W98" s="316"/>
      <c r="X98" s="316"/>
    </row>
    <row r="99" spans="5:24" ht="12.75"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V99" s="316"/>
      <c r="W99" s="316"/>
      <c r="X99" s="316"/>
    </row>
    <row r="100" spans="5:24" ht="12.75"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V100" s="316"/>
      <c r="W100" s="316"/>
      <c r="X100" s="316"/>
    </row>
    <row r="101" spans="5:24" ht="12.75"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V101" s="316"/>
      <c r="W101" s="316"/>
      <c r="X101" s="316"/>
    </row>
    <row r="102" spans="5:24" ht="12.75"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V102" s="316"/>
      <c r="W102" s="316"/>
      <c r="X102" s="316"/>
    </row>
    <row r="103" spans="5:24" ht="12.75"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V103" s="316"/>
      <c r="W103" s="316"/>
      <c r="X103" s="316"/>
    </row>
    <row r="104" spans="5:24" ht="12.75"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V104" s="316"/>
      <c r="W104" s="316"/>
      <c r="X104" s="316"/>
    </row>
    <row r="105" spans="5:24" ht="12.75"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V105" s="316"/>
      <c r="W105" s="316"/>
      <c r="X105" s="316"/>
    </row>
    <row r="106" spans="5:24" ht="12.75"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V106" s="316"/>
      <c r="W106" s="316"/>
      <c r="X106" s="316"/>
    </row>
    <row r="107" spans="5:24" ht="12.75"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V107" s="316"/>
      <c r="W107" s="316"/>
      <c r="X107" s="316"/>
    </row>
    <row r="108" spans="5:24" ht="12.75"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V108" s="316"/>
      <c r="W108" s="316"/>
      <c r="X108" s="316"/>
    </row>
    <row r="109" spans="5:24" ht="12.75"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V109" s="316"/>
      <c r="W109" s="316"/>
      <c r="X109" s="316"/>
    </row>
    <row r="110" spans="5:24" ht="12.75"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V110" s="316"/>
      <c r="W110" s="316"/>
      <c r="X110" s="316"/>
    </row>
    <row r="111" spans="5:24" ht="12.75"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V111" s="316"/>
      <c r="W111" s="316"/>
      <c r="X111" s="316"/>
    </row>
    <row r="112" spans="5:24" ht="12.75"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V112" s="316"/>
      <c r="W112" s="316"/>
      <c r="X112" s="316"/>
    </row>
    <row r="113" spans="5:24" ht="12.75"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V113" s="316"/>
      <c r="W113" s="316"/>
      <c r="X113" s="316"/>
    </row>
  </sheetData>
  <sheetProtection/>
  <mergeCells count="49">
    <mergeCell ref="C37:D37"/>
    <mergeCell ref="C35:D35"/>
    <mergeCell ref="C33:D33"/>
    <mergeCell ref="A63:D63"/>
    <mergeCell ref="C50:D50"/>
    <mergeCell ref="B58:D58"/>
    <mergeCell ref="B34:D34"/>
    <mergeCell ref="B43:D43"/>
    <mergeCell ref="AC4:AJ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Q1:AG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A64:D64"/>
    <mergeCell ref="B62:D62"/>
    <mergeCell ref="C61:D61"/>
    <mergeCell ref="C52:D52"/>
    <mergeCell ref="B57:D57"/>
    <mergeCell ref="C60:D60"/>
    <mergeCell ref="C59:D59"/>
    <mergeCell ref="C13:D13"/>
    <mergeCell ref="C32:D32"/>
    <mergeCell ref="C16:D16"/>
    <mergeCell ref="C25:D25"/>
    <mergeCell ref="C17:D17"/>
    <mergeCell ref="C20:D20"/>
    <mergeCell ref="C24:D24"/>
    <mergeCell ref="E4:L4"/>
    <mergeCell ref="U4:AB4"/>
    <mergeCell ref="A2:U2"/>
    <mergeCell ref="A4:C4"/>
    <mergeCell ref="B6:D6"/>
    <mergeCell ref="B7:D7"/>
    <mergeCell ref="M4:T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5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workbookViewId="0" topLeftCell="A1">
      <selection activeCell="J19" sqref="J1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97" customWidth="1"/>
    <col min="5" max="5" width="12.7109375" style="597" hidden="1" customWidth="1"/>
    <col min="6" max="6" width="13.28125" style="597" hidden="1" customWidth="1"/>
    <col min="7" max="7" width="13.00390625" style="597" hidden="1" customWidth="1"/>
    <col min="8" max="8" width="16.140625" style="597" hidden="1" customWidth="1"/>
    <col min="9" max="10" width="15.57421875" style="597" customWidth="1"/>
    <col min="11" max="11" width="12.28125" style="597" customWidth="1"/>
    <col min="12" max="12" width="14.140625" style="598" customWidth="1"/>
    <col min="13" max="13" width="12.7109375" style="598" hidden="1" customWidth="1"/>
    <col min="14" max="14" width="13.57421875" style="598" hidden="1" customWidth="1"/>
    <col min="15" max="15" width="12.8515625" style="598" hidden="1" customWidth="1"/>
    <col min="16" max="16" width="12.7109375" style="598" hidden="1" customWidth="1"/>
    <col min="17" max="18" width="13.7109375" style="598" customWidth="1"/>
    <col min="19" max="19" width="12.8515625" style="598" customWidth="1"/>
    <col min="20" max="20" width="13.00390625" style="598" customWidth="1"/>
    <col min="21" max="21" width="11.421875" style="598" hidden="1" customWidth="1"/>
    <col min="22" max="22" width="12.421875" style="9" hidden="1" customWidth="1"/>
    <col min="23" max="23" width="12.7109375" style="9" hidden="1" customWidth="1"/>
    <col min="24" max="24" width="11.8515625" style="9" hidden="1" customWidth="1"/>
    <col min="25" max="26" width="12.28125" style="9" customWidth="1"/>
    <col min="27" max="27" width="13.8515625" style="9" customWidth="1"/>
    <col min="28" max="16384" width="9.140625" style="9" customWidth="1"/>
  </cols>
  <sheetData>
    <row r="1" spans="4:26" ht="12.75">
      <c r="D1" s="592"/>
      <c r="E1" s="592"/>
      <c r="F1" s="592"/>
      <c r="G1" s="592"/>
      <c r="H1" s="592"/>
      <c r="I1" s="592"/>
      <c r="J1" s="592"/>
      <c r="K1" s="592"/>
      <c r="L1" s="1550" t="s">
        <v>641</v>
      </c>
      <c r="M1" s="1550"/>
      <c r="N1" s="1550"/>
      <c r="O1" s="1550"/>
      <c r="P1" s="1550"/>
      <c r="Q1" s="1550"/>
      <c r="R1" s="1550"/>
      <c r="S1" s="1550"/>
      <c r="T1" s="1550"/>
      <c r="U1" s="1550"/>
      <c r="V1" s="1550"/>
      <c r="W1" s="1550"/>
      <c r="X1" s="1550"/>
      <c r="Y1" s="1550"/>
      <c r="Z1" s="1040"/>
    </row>
    <row r="2" spans="1:21" ht="16.5" customHeight="1">
      <c r="A2" s="1551" t="s">
        <v>365</v>
      </c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593"/>
    </row>
    <row r="3" spans="1:21" ht="15" customHeight="1">
      <c r="A3" s="1552" t="s">
        <v>506</v>
      </c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594"/>
    </row>
    <row r="4" spans="1:21" ht="15" customHeight="1">
      <c r="A4" s="1553" t="s">
        <v>366</v>
      </c>
      <c r="B4" s="1553"/>
      <c r="C4" s="1553"/>
      <c r="D4" s="1553"/>
      <c r="E4" s="1553"/>
      <c r="F4" s="1553"/>
      <c r="G4" s="1553"/>
      <c r="H4" s="1553"/>
      <c r="I4" s="1553"/>
      <c r="J4" s="1553"/>
      <c r="K4" s="1553"/>
      <c r="L4" s="1553"/>
      <c r="M4" s="1553"/>
      <c r="N4" s="1553"/>
      <c r="O4" s="1553"/>
      <c r="P4" s="1553"/>
      <c r="Q4" s="1553"/>
      <c r="R4" s="1553"/>
      <c r="S4" s="1553"/>
      <c r="T4" s="1553"/>
      <c r="U4" s="595"/>
    </row>
    <row r="5" spans="2:26" ht="13.5" thickBot="1">
      <c r="B5" s="596"/>
      <c r="C5" s="596"/>
      <c r="T5" s="1559" t="s">
        <v>488</v>
      </c>
      <c r="U5" s="1559"/>
      <c r="V5" s="1559"/>
      <c r="W5" s="1559"/>
      <c r="X5" s="1559"/>
      <c r="Y5" s="1559"/>
      <c r="Z5" s="1164"/>
    </row>
    <row r="6" spans="1:28" s="601" customFormat="1" ht="41.25" customHeight="1" thickBot="1">
      <c r="A6" s="599" t="s">
        <v>6</v>
      </c>
      <c r="B6" s="1554" t="s">
        <v>4</v>
      </c>
      <c r="C6" s="1554"/>
      <c r="D6" s="1555" t="s">
        <v>5</v>
      </c>
      <c r="E6" s="1556"/>
      <c r="F6" s="1556"/>
      <c r="G6" s="1556"/>
      <c r="H6" s="1556"/>
      <c r="I6" s="1556"/>
      <c r="J6" s="1557"/>
      <c r="K6" s="1558"/>
      <c r="L6" s="1555" t="s">
        <v>367</v>
      </c>
      <c r="M6" s="1556"/>
      <c r="N6" s="1556"/>
      <c r="O6" s="1556"/>
      <c r="P6" s="1556"/>
      <c r="Q6" s="1556"/>
      <c r="R6" s="1557"/>
      <c r="S6" s="1558"/>
      <c r="T6" s="1555" t="s">
        <v>368</v>
      </c>
      <c r="U6" s="1556"/>
      <c r="V6" s="1556"/>
      <c r="W6" s="1556"/>
      <c r="X6" s="1556"/>
      <c r="Y6" s="1556"/>
      <c r="Z6" s="1557"/>
      <c r="AA6" s="1558"/>
      <c r="AB6" s="600"/>
    </row>
    <row r="7" spans="1:27" s="601" customFormat="1" ht="41.25" customHeight="1" thickBot="1">
      <c r="A7" s="602"/>
      <c r="B7" s="603"/>
      <c r="C7" s="603"/>
      <c r="D7" s="604" t="s">
        <v>65</v>
      </c>
      <c r="E7" s="605" t="s">
        <v>228</v>
      </c>
      <c r="F7" s="605" t="s">
        <v>231</v>
      </c>
      <c r="G7" s="605" t="s">
        <v>233</v>
      </c>
      <c r="H7" s="605" t="s">
        <v>246</v>
      </c>
      <c r="I7" s="605" t="s">
        <v>250</v>
      </c>
      <c r="J7" s="1157" t="s">
        <v>236</v>
      </c>
      <c r="K7" s="606" t="s">
        <v>350</v>
      </c>
      <c r="L7" s="604" t="s">
        <v>65</v>
      </c>
      <c r="M7" s="605" t="s">
        <v>228</v>
      </c>
      <c r="N7" s="605" t="s">
        <v>231</v>
      </c>
      <c r="O7" s="605" t="s">
        <v>233</v>
      </c>
      <c r="P7" s="605" t="s">
        <v>246</v>
      </c>
      <c r="Q7" s="605" t="s">
        <v>250</v>
      </c>
      <c r="R7" s="1157" t="s">
        <v>236</v>
      </c>
      <c r="S7" s="606" t="s">
        <v>350</v>
      </c>
      <c r="T7" s="604" t="s">
        <v>65</v>
      </c>
      <c r="U7" s="605" t="s">
        <v>228</v>
      </c>
      <c r="V7" s="605" t="s">
        <v>231</v>
      </c>
      <c r="W7" s="605" t="s">
        <v>233</v>
      </c>
      <c r="X7" s="605" t="s">
        <v>246</v>
      </c>
      <c r="Y7" s="605" t="s">
        <v>250</v>
      </c>
      <c r="Z7" s="1157" t="s">
        <v>236</v>
      </c>
      <c r="AA7" s="606" t="s">
        <v>350</v>
      </c>
    </row>
    <row r="8" spans="1:27" ht="27.75" customHeight="1">
      <c r="A8" s="53">
        <v>1</v>
      </c>
      <c r="B8" s="1566" t="s">
        <v>369</v>
      </c>
      <c r="C8" s="1566"/>
      <c r="D8" s="607">
        <v>807200</v>
      </c>
      <c r="E8" s="607">
        <v>807200</v>
      </c>
      <c r="F8" s="607">
        <v>807200</v>
      </c>
      <c r="G8" s="607">
        <v>807200</v>
      </c>
      <c r="H8" s="607">
        <v>807200</v>
      </c>
      <c r="I8" s="608">
        <v>1487200</v>
      </c>
      <c r="J8" s="1158">
        <v>220600</v>
      </c>
      <c r="K8" s="1165">
        <f>+J8/I8</f>
        <v>0.14833243679397526</v>
      </c>
      <c r="L8" s="607">
        <v>807200</v>
      </c>
      <c r="M8" s="607">
        <v>807200</v>
      </c>
      <c r="N8" s="607">
        <v>807200</v>
      </c>
      <c r="O8" s="607">
        <v>807200</v>
      </c>
      <c r="P8" s="607">
        <v>807200</v>
      </c>
      <c r="Q8" s="608">
        <v>1487200</v>
      </c>
      <c r="R8" s="1158">
        <v>220600</v>
      </c>
      <c r="S8" s="1165">
        <f>+R8/Q8</f>
        <v>0.14833243679397526</v>
      </c>
      <c r="T8" s="607"/>
      <c r="U8" s="608"/>
      <c r="V8" s="608"/>
      <c r="W8" s="608"/>
      <c r="X8" s="608"/>
      <c r="Y8" s="608"/>
      <c r="Z8" s="1158"/>
      <c r="AA8" s="609"/>
    </row>
    <row r="9" spans="1:27" ht="27.75" customHeight="1">
      <c r="A9" s="54">
        <v>2</v>
      </c>
      <c r="B9" s="1560" t="s">
        <v>520</v>
      </c>
      <c r="C9" s="1560"/>
      <c r="D9" s="611">
        <v>122133</v>
      </c>
      <c r="E9" s="611">
        <v>122133</v>
      </c>
      <c r="F9" s="611">
        <v>122133</v>
      </c>
      <c r="G9" s="611">
        <v>122133</v>
      </c>
      <c r="H9" s="611">
        <v>122133</v>
      </c>
      <c r="I9" s="611">
        <v>122133</v>
      </c>
      <c r="J9" s="1159"/>
      <c r="K9" s="1166">
        <f aca="true" t="shared" si="0" ref="K9:K25">+J9/I9</f>
        <v>0</v>
      </c>
      <c r="L9" s="611">
        <v>122133</v>
      </c>
      <c r="M9" s="611">
        <v>122133</v>
      </c>
      <c r="N9" s="611">
        <v>122133</v>
      </c>
      <c r="O9" s="611">
        <v>122133</v>
      </c>
      <c r="P9" s="611">
        <v>122133</v>
      </c>
      <c r="Q9" s="611">
        <v>122133</v>
      </c>
      <c r="R9" s="1159"/>
      <c r="S9" s="1166">
        <f aca="true" t="shared" si="1" ref="S9:S20">+R9/Q9</f>
        <v>0</v>
      </c>
      <c r="T9" s="611"/>
      <c r="U9" s="612"/>
      <c r="V9" s="612"/>
      <c r="W9" s="612"/>
      <c r="X9" s="612"/>
      <c r="Y9" s="612"/>
      <c r="Z9" s="1160"/>
      <c r="AA9" s="613"/>
    </row>
    <row r="10" spans="1:27" ht="27.75" customHeight="1">
      <c r="A10" s="54">
        <v>3</v>
      </c>
      <c r="B10" s="1560" t="s">
        <v>370</v>
      </c>
      <c r="C10" s="1560"/>
      <c r="D10" s="611">
        <v>2000000</v>
      </c>
      <c r="E10" s="611">
        <v>2000000</v>
      </c>
      <c r="F10" s="611">
        <v>2000000</v>
      </c>
      <c r="G10" s="611">
        <v>2000000</v>
      </c>
      <c r="H10" s="611">
        <v>2000000</v>
      </c>
      <c r="I10" s="611">
        <v>2000000</v>
      </c>
      <c r="J10" s="1159">
        <v>1634490</v>
      </c>
      <c r="K10" s="1166">
        <f t="shared" si="0"/>
        <v>0.817245</v>
      </c>
      <c r="L10" s="611">
        <v>2000000</v>
      </c>
      <c r="M10" s="611">
        <v>2000000</v>
      </c>
      <c r="N10" s="611">
        <v>2000000</v>
      </c>
      <c r="O10" s="611">
        <v>2000000</v>
      </c>
      <c r="P10" s="611">
        <v>2000000</v>
      </c>
      <c r="Q10" s="611">
        <v>2000000</v>
      </c>
      <c r="R10" s="1159">
        <v>1634490</v>
      </c>
      <c r="S10" s="1166">
        <f t="shared" si="1"/>
        <v>0.817245</v>
      </c>
      <c r="T10" s="611"/>
      <c r="U10" s="612"/>
      <c r="V10" s="612"/>
      <c r="W10" s="612"/>
      <c r="X10" s="612"/>
      <c r="Y10" s="612"/>
      <c r="Z10" s="1160"/>
      <c r="AA10" s="613"/>
    </row>
    <row r="11" spans="1:27" ht="27.75" customHeight="1">
      <c r="A11" s="54">
        <v>4</v>
      </c>
      <c r="B11" s="1560" t="s">
        <v>371</v>
      </c>
      <c r="C11" s="1560"/>
      <c r="D11" s="611">
        <v>1866695</v>
      </c>
      <c r="E11" s="611">
        <v>1866695</v>
      </c>
      <c r="F11" s="611">
        <v>1866695</v>
      </c>
      <c r="G11" s="611">
        <v>1866695</v>
      </c>
      <c r="H11" s="611">
        <v>1866695</v>
      </c>
      <c r="I11" s="612">
        <v>1914124</v>
      </c>
      <c r="J11" s="1160">
        <v>1411235</v>
      </c>
      <c r="K11" s="1166">
        <f t="shared" si="0"/>
        <v>0.7372745966301034</v>
      </c>
      <c r="L11" s="611"/>
      <c r="M11" s="611"/>
      <c r="N11" s="611"/>
      <c r="O11" s="611"/>
      <c r="P11" s="611"/>
      <c r="Q11" s="612"/>
      <c r="R11" s="1160"/>
      <c r="S11" s="1166"/>
      <c r="T11" s="611">
        <v>1866695</v>
      </c>
      <c r="U11" s="611">
        <v>1866695</v>
      </c>
      <c r="V11" s="611">
        <v>1866695</v>
      </c>
      <c r="W11" s="611">
        <v>1866695</v>
      </c>
      <c r="X11" s="611">
        <v>1866695</v>
      </c>
      <c r="Y11" s="612">
        <v>1914124</v>
      </c>
      <c r="Z11" s="1160">
        <v>1411235</v>
      </c>
      <c r="AA11" s="1166">
        <f>+Z11/Y11</f>
        <v>0.7372745966301034</v>
      </c>
    </row>
    <row r="12" spans="1:27" ht="27.75" customHeight="1">
      <c r="A12" s="54">
        <v>5</v>
      </c>
      <c r="B12" s="1560" t="s">
        <v>372</v>
      </c>
      <c r="C12" s="1560"/>
      <c r="D12" s="611">
        <v>5858314</v>
      </c>
      <c r="E12" s="611">
        <v>5858314</v>
      </c>
      <c r="F12" s="611">
        <f>5858314+3247639+46512</f>
        <v>9152465</v>
      </c>
      <c r="G12" s="611">
        <f>5858314+3247639+46512</f>
        <v>9152465</v>
      </c>
      <c r="H12" s="611">
        <f>5858314+3247639+46512</f>
        <v>9152465</v>
      </c>
      <c r="I12" s="612">
        <v>9105953</v>
      </c>
      <c r="J12" s="1160">
        <v>5890139</v>
      </c>
      <c r="K12" s="1166">
        <f t="shared" si="0"/>
        <v>0.646844871700963</v>
      </c>
      <c r="L12" s="611">
        <v>5858314</v>
      </c>
      <c r="M12" s="611">
        <v>5858314</v>
      </c>
      <c r="N12" s="611">
        <f>5858314+3247639+46512</f>
        <v>9152465</v>
      </c>
      <c r="O12" s="611">
        <f>5858314+3247639+46512</f>
        <v>9152465</v>
      </c>
      <c r="P12" s="611">
        <f>5858314+3247639+46512</f>
        <v>9152465</v>
      </c>
      <c r="Q12" s="612">
        <v>9105953</v>
      </c>
      <c r="R12" s="1160">
        <v>5890139</v>
      </c>
      <c r="S12" s="1166">
        <f t="shared" si="1"/>
        <v>0.646844871700963</v>
      </c>
      <c r="T12" s="611"/>
      <c r="U12" s="612"/>
      <c r="V12" s="612"/>
      <c r="W12" s="612"/>
      <c r="X12" s="612"/>
      <c r="Y12" s="612"/>
      <c r="Z12" s="1160"/>
      <c r="AA12" s="613"/>
    </row>
    <row r="13" spans="1:27" ht="27.75" customHeight="1">
      <c r="A13" s="54">
        <v>6</v>
      </c>
      <c r="B13" s="1560" t="s">
        <v>373</v>
      </c>
      <c r="C13" s="1560"/>
      <c r="D13" s="611">
        <v>40232607</v>
      </c>
      <c r="E13" s="611">
        <f>40232607+2*49000+59000</f>
        <v>40389607</v>
      </c>
      <c r="F13" s="611">
        <f>40232607+2*49000+59000+283558</f>
        <v>40673165</v>
      </c>
      <c r="G13" s="611">
        <f>40232607+2*49000+59000+283558</f>
        <v>40673165</v>
      </c>
      <c r="H13" s="611">
        <f>40232607+2*49000+59000+283558+3263295</f>
        <v>43936460</v>
      </c>
      <c r="I13" s="612">
        <v>115453674</v>
      </c>
      <c r="J13" s="1160">
        <v>24517628</v>
      </c>
      <c r="K13" s="1166">
        <f t="shared" si="0"/>
        <v>0.21235901076651748</v>
      </c>
      <c r="L13" s="611">
        <v>40232607</v>
      </c>
      <c r="M13" s="611">
        <f>40232607+2*49000+59000</f>
        <v>40389607</v>
      </c>
      <c r="N13" s="611">
        <f>40232607+2*49000+59000+283558</f>
        <v>40673165</v>
      </c>
      <c r="O13" s="611">
        <f>40232607+2*49000+59000+283558</f>
        <v>40673165</v>
      </c>
      <c r="P13" s="611">
        <f>40232607+2*49000+59000+283558+3263295</f>
        <v>43936460</v>
      </c>
      <c r="Q13" s="612">
        <v>115453674</v>
      </c>
      <c r="R13" s="1160">
        <v>24517628</v>
      </c>
      <c r="S13" s="1166">
        <f t="shared" si="1"/>
        <v>0.21235901076651748</v>
      </c>
      <c r="T13" s="611"/>
      <c r="U13" s="612"/>
      <c r="V13" s="612"/>
      <c r="W13" s="612"/>
      <c r="X13" s="612"/>
      <c r="Y13" s="612"/>
      <c r="Z13" s="1160"/>
      <c r="AA13" s="613"/>
    </row>
    <row r="14" spans="1:27" ht="27.75" customHeight="1">
      <c r="A14" s="54">
        <v>7</v>
      </c>
      <c r="B14" s="610" t="s">
        <v>374</v>
      </c>
      <c r="C14" s="610"/>
      <c r="D14" s="611">
        <v>268100</v>
      </c>
      <c r="E14" s="611">
        <v>268100</v>
      </c>
      <c r="F14" s="611">
        <v>268100</v>
      </c>
      <c r="G14" s="611">
        <v>268100</v>
      </c>
      <c r="H14" s="611">
        <v>268100</v>
      </c>
      <c r="I14" s="611">
        <v>268100</v>
      </c>
      <c r="J14" s="1159"/>
      <c r="K14" s="1166">
        <f t="shared" si="0"/>
        <v>0</v>
      </c>
      <c r="L14" s="611">
        <v>268100</v>
      </c>
      <c r="M14" s="611">
        <v>268100</v>
      </c>
      <c r="N14" s="611">
        <v>268100</v>
      </c>
      <c r="O14" s="611">
        <v>268100</v>
      </c>
      <c r="P14" s="611">
        <v>268100</v>
      </c>
      <c r="Q14" s="611">
        <v>268100</v>
      </c>
      <c r="R14" s="1159"/>
      <c r="S14" s="1166">
        <f t="shared" si="1"/>
        <v>0</v>
      </c>
      <c r="T14" s="611"/>
      <c r="U14" s="612"/>
      <c r="V14" s="612"/>
      <c r="W14" s="612"/>
      <c r="X14" s="612"/>
      <c r="Y14" s="612"/>
      <c r="Z14" s="1160"/>
      <c r="AA14" s="613"/>
    </row>
    <row r="15" spans="1:27" ht="27.75" customHeight="1">
      <c r="A15" s="54">
        <v>8</v>
      </c>
      <c r="B15" s="1560" t="s">
        <v>375</v>
      </c>
      <c r="C15" s="1560"/>
      <c r="D15" s="611">
        <v>2520838</v>
      </c>
      <c r="E15" s="611">
        <v>2520838</v>
      </c>
      <c r="F15" s="611">
        <f>2520838-90000</f>
        <v>2430838</v>
      </c>
      <c r="G15" s="611">
        <f>2520838-90000</f>
        <v>2430838</v>
      </c>
      <c r="H15" s="611">
        <f>2520838-90000</f>
        <v>2430838</v>
      </c>
      <c r="I15" s="612">
        <v>2430838</v>
      </c>
      <c r="J15" s="1160">
        <v>1135883</v>
      </c>
      <c r="K15" s="1166">
        <f t="shared" si="0"/>
        <v>0.4672804193450983</v>
      </c>
      <c r="L15" s="611">
        <v>2520838</v>
      </c>
      <c r="M15" s="611">
        <v>2520838</v>
      </c>
      <c r="N15" s="611">
        <f>2520838-90000</f>
        <v>2430838</v>
      </c>
      <c r="O15" s="611">
        <f>2520838-90000</f>
        <v>2430838</v>
      </c>
      <c r="P15" s="611">
        <f>2520838-90000</f>
        <v>2430838</v>
      </c>
      <c r="Q15" s="612">
        <v>2430838</v>
      </c>
      <c r="R15" s="1160">
        <v>1135883</v>
      </c>
      <c r="S15" s="1166">
        <f t="shared" si="1"/>
        <v>0.4672804193450983</v>
      </c>
      <c r="T15" s="611"/>
      <c r="U15" s="612"/>
      <c r="V15" s="612"/>
      <c r="W15" s="612"/>
      <c r="X15" s="612"/>
      <c r="Y15" s="612"/>
      <c r="Z15" s="1160"/>
      <c r="AA15" s="613"/>
    </row>
    <row r="16" spans="1:27" ht="27.75" customHeight="1">
      <c r="A16" s="54">
        <v>9</v>
      </c>
      <c r="B16" s="1560" t="s">
        <v>376</v>
      </c>
      <c r="C16" s="1560"/>
      <c r="D16" s="611">
        <v>195600</v>
      </c>
      <c r="E16" s="611">
        <v>195600</v>
      </c>
      <c r="F16" s="611">
        <v>195600</v>
      </c>
      <c r="G16" s="611">
        <v>195600</v>
      </c>
      <c r="H16" s="611">
        <v>195600</v>
      </c>
      <c r="I16" s="611">
        <v>195600</v>
      </c>
      <c r="J16" s="1159">
        <v>195600</v>
      </c>
      <c r="K16" s="1166">
        <f t="shared" si="0"/>
        <v>1</v>
      </c>
      <c r="L16" s="611">
        <v>195600</v>
      </c>
      <c r="M16" s="611">
        <v>195600</v>
      </c>
      <c r="N16" s="611">
        <v>195600</v>
      </c>
      <c r="O16" s="611">
        <v>195600</v>
      </c>
      <c r="P16" s="611">
        <v>195600</v>
      </c>
      <c r="Q16" s="611">
        <v>195600</v>
      </c>
      <c r="R16" s="1159">
        <v>195600</v>
      </c>
      <c r="S16" s="1166">
        <f t="shared" si="1"/>
        <v>1</v>
      </c>
      <c r="T16" s="611"/>
      <c r="U16" s="612"/>
      <c r="V16" s="612"/>
      <c r="W16" s="612"/>
      <c r="X16" s="612"/>
      <c r="Y16" s="612"/>
      <c r="Z16" s="1160"/>
      <c r="AA16" s="613"/>
    </row>
    <row r="17" spans="1:27" ht="36" customHeight="1" hidden="1">
      <c r="A17" s="54">
        <v>10</v>
      </c>
      <c r="B17" s="1562" t="s">
        <v>377</v>
      </c>
      <c r="C17" s="1563"/>
      <c r="D17" s="611"/>
      <c r="E17" s="611"/>
      <c r="F17" s="611"/>
      <c r="G17" s="611"/>
      <c r="H17" s="611"/>
      <c r="I17" s="612"/>
      <c r="J17" s="1160"/>
      <c r="K17" s="1166" t="e">
        <f t="shared" si="0"/>
        <v>#DIV/0!</v>
      </c>
      <c r="L17" s="611"/>
      <c r="M17" s="611"/>
      <c r="N17" s="611"/>
      <c r="O17" s="611"/>
      <c r="P17" s="611"/>
      <c r="Q17" s="612"/>
      <c r="R17" s="1160"/>
      <c r="S17" s="1166" t="e">
        <f t="shared" si="1"/>
        <v>#DIV/0!</v>
      </c>
      <c r="T17" s="611"/>
      <c r="U17" s="612"/>
      <c r="V17" s="612"/>
      <c r="W17" s="612"/>
      <c r="X17" s="612"/>
      <c r="Y17" s="612"/>
      <c r="Z17" s="1160"/>
      <c r="AA17" s="613"/>
    </row>
    <row r="18" spans="1:27" ht="27.75" customHeight="1">
      <c r="A18" s="54">
        <v>10</v>
      </c>
      <c r="B18" s="1549" t="s">
        <v>378</v>
      </c>
      <c r="C18" s="1549"/>
      <c r="D18" s="614">
        <v>1206500</v>
      </c>
      <c r="E18" s="614">
        <v>1206500</v>
      </c>
      <c r="F18" s="614">
        <v>1206500</v>
      </c>
      <c r="G18" s="614">
        <v>1206500</v>
      </c>
      <c r="H18" s="614">
        <v>1206500</v>
      </c>
      <c r="I18" s="614">
        <v>1206500</v>
      </c>
      <c r="J18" s="1161">
        <v>398783</v>
      </c>
      <c r="K18" s="1166">
        <f t="shared" si="0"/>
        <v>0.33052880232076254</v>
      </c>
      <c r="L18" s="614">
        <v>1206500</v>
      </c>
      <c r="M18" s="614">
        <v>1206500</v>
      </c>
      <c r="N18" s="614">
        <v>1206500</v>
      </c>
      <c r="O18" s="614">
        <v>1206500</v>
      </c>
      <c r="P18" s="614">
        <v>1206500</v>
      </c>
      <c r="Q18" s="614">
        <v>1206500</v>
      </c>
      <c r="R18" s="1161">
        <v>398783</v>
      </c>
      <c r="S18" s="1166">
        <f t="shared" si="1"/>
        <v>0.33052880232076254</v>
      </c>
      <c r="T18" s="614"/>
      <c r="U18" s="615"/>
      <c r="V18" s="615"/>
      <c r="W18" s="615"/>
      <c r="X18" s="615"/>
      <c r="Y18" s="615"/>
      <c r="Z18" s="1162"/>
      <c r="AA18" s="616"/>
    </row>
    <row r="19" spans="1:27" ht="27.75" customHeight="1">
      <c r="A19" s="54">
        <v>11</v>
      </c>
      <c r="B19" s="1548" t="s">
        <v>487</v>
      </c>
      <c r="C19" s="1549"/>
      <c r="D19" s="614">
        <v>173487</v>
      </c>
      <c r="E19" s="614">
        <v>173487</v>
      </c>
      <c r="F19" s="614">
        <v>173487</v>
      </c>
      <c r="G19" s="614">
        <v>173487</v>
      </c>
      <c r="H19" s="614">
        <v>173487</v>
      </c>
      <c r="I19" s="614">
        <v>173487</v>
      </c>
      <c r="J19" s="1161">
        <v>109549</v>
      </c>
      <c r="K19" s="1166">
        <f t="shared" si="0"/>
        <v>0.6314536535878769</v>
      </c>
      <c r="L19" s="614">
        <v>173487</v>
      </c>
      <c r="M19" s="614">
        <v>173487</v>
      </c>
      <c r="N19" s="614">
        <v>173487</v>
      </c>
      <c r="O19" s="614">
        <v>173487</v>
      </c>
      <c r="P19" s="614">
        <v>173487</v>
      </c>
      <c r="Q19" s="614">
        <v>173487</v>
      </c>
      <c r="R19" s="1161">
        <v>109549</v>
      </c>
      <c r="S19" s="1166">
        <f t="shared" si="1"/>
        <v>0.6314536535878769</v>
      </c>
      <c r="T19" s="614"/>
      <c r="U19" s="615"/>
      <c r="V19" s="615"/>
      <c r="W19" s="615"/>
      <c r="X19" s="615"/>
      <c r="Y19" s="615"/>
      <c r="Z19" s="1162"/>
      <c r="AA19" s="616"/>
    </row>
    <row r="20" spans="1:27" ht="27.75" customHeight="1">
      <c r="A20" s="54">
        <v>12</v>
      </c>
      <c r="B20" s="1548" t="s">
        <v>558</v>
      </c>
      <c r="C20" s="1549"/>
      <c r="D20" s="614"/>
      <c r="E20" s="614"/>
      <c r="F20" s="614">
        <v>480000</v>
      </c>
      <c r="G20" s="614">
        <v>480000</v>
      </c>
      <c r="H20" s="614">
        <v>480000</v>
      </c>
      <c r="I20" s="615">
        <v>2348600</v>
      </c>
      <c r="J20" s="1162">
        <v>579125</v>
      </c>
      <c r="K20" s="1166">
        <f t="shared" si="0"/>
        <v>0.24658307076556246</v>
      </c>
      <c r="L20" s="614"/>
      <c r="M20" s="614"/>
      <c r="N20" s="614">
        <v>480000</v>
      </c>
      <c r="O20" s="614">
        <v>480000</v>
      </c>
      <c r="P20" s="614">
        <v>480000</v>
      </c>
      <c r="Q20" s="615">
        <v>2348600</v>
      </c>
      <c r="R20" s="1162">
        <v>579125</v>
      </c>
      <c r="S20" s="1166">
        <f t="shared" si="1"/>
        <v>0.24658307076556246</v>
      </c>
      <c r="T20" s="614"/>
      <c r="U20" s="615"/>
      <c r="V20" s="615"/>
      <c r="W20" s="615"/>
      <c r="X20" s="615"/>
      <c r="Y20" s="615"/>
      <c r="Z20" s="1162"/>
      <c r="AA20" s="616"/>
    </row>
    <row r="21" spans="1:27" ht="27.75" customHeight="1" hidden="1">
      <c r="A21" s="54">
        <v>13</v>
      </c>
      <c r="B21" s="1548" t="s">
        <v>566</v>
      </c>
      <c r="C21" s="1549"/>
      <c r="D21" s="614"/>
      <c r="E21" s="614"/>
      <c r="F21" s="614"/>
      <c r="G21" s="614">
        <v>4495300</v>
      </c>
      <c r="H21" s="614">
        <v>4495300</v>
      </c>
      <c r="I21" s="615"/>
      <c r="J21" s="1162"/>
      <c r="K21" s="1166"/>
      <c r="L21" s="614"/>
      <c r="M21" s="614"/>
      <c r="N21" s="614"/>
      <c r="O21" s="614">
        <v>4495300</v>
      </c>
      <c r="P21" s="614">
        <v>4495300</v>
      </c>
      <c r="Q21" s="615"/>
      <c r="R21" s="1162"/>
      <c r="S21" s="1166"/>
      <c r="T21" s="614"/>
      <c r="U21" s="615"/>
      <c r="V21" s="615"/>
      <c r="W21" s="615"/>
      <c r="X21" s="615"/>
      <c r="Y21" s="615"/>
      <c r="Z21" s="1162"/>
      <c r="AA21" s="616"/>
    </row>
    <row r="22" spans="1:27" ht="27.75" customHeight="1">
      <c r="A22" s="54">
        <v>13</v>
      </c>
      <c r="B22" s="1548" t="s">
        <v>567</v>
      </c>
      <c r="C22" s="1549"/>
      <c r="D22" s="614"/>
      <c r="E22" s="614"/>
      <c r="F22" s="614"/>
      <c r="G22" s="614">
        <v>1854000</v>
      </c>
      <c r="H22" s="614">
        <v>1854000</v>
      </c>
      <c r="I22" s="615">
        <v>1854000</v>
      </c>
      <c r="J22" s="1162">
        <v>1105404</v>
      </c>
      <c r="K22" s="1166">
        <f t="shared" si="0"/>
        <v>0.5962265372168285</v>
      </c>
      <c r="L22" s="614"/>
      <c r="M22" s="614"/>
      <c r="N22" s="614"/>
      <c r="O22" s="614">
        <v>1854000</v>
      </c>
      <c r="P22" s="614">
        <v>1854000</v>
      </c>
      <c r="Q22" s="615">
        <v>1854000</v>
      </c>
      <c r="R22" s="1162">
        <v>1105404</v>
      </c>
      <c r="S22" s="1166">
        <f>+R22/Q22</f>
        <v>0.5962265372168285</v>
      </c>
      <c r="T22" s="614"/>
      <c r="U22" s="615"/>
      <c r="V22" s="615"/>
      <c r="W22" s="615"/>
      <c r="X22" s="615"/>
      <c r="Y22" s="615"/>
      <c r="Z22" s="1162"/>
      <c r="AA22" s="616"/>
    </row>
    <row r="23" spans="1:27" ht="27.75" customHeight="1">
      <c r="A23" s="54">
        <v>14</v>
      </c>
      <c r="B23" s="1548" t="s">
        <v>623</v>
      </c>
      <c r="C23" s="1549"/>
      <c r="D23" s="614"/>
      <c r="E23" s="614"/>
      <c r="F23" s="614"/>
      <c r="G23" s="614"/>
      <c r="H23" s="614"/>
      <c r="I23" s="615">
        <v>1536700</v>
      </c>
      <c r="J23" s="1162"/>
      <c r="K23" s="1166">
        <f t="shared" si="0"/>
        <v>0</v>
      </c>
      <c r="L23" s="614"/>
      <c r="M23" s="614"/>
      <c r="N23" s="614"/>
      <c r="O23" s="614"/>
      <c r="P23" s="614"/>
      <c r="Q23" s="615">
        <v>1536700</v>
      </c>
      <c r="R23" s="1162"/>
      <c r="S23" s="1166">
        <f>+R23/Q23</f>
        <v>0</v>
      </c>
      <c r="T23" s="614"/>
      <c r="U23" s="615"/>
      <c r="V23" s="615"/>
      <c r="W23" s="615"/>
      <c r="X23" s="615"/>
      <c r="Y23" s="615"/>
      <c r="Z23" s="1162"/>
      <c r="AA23" s="616"/>
    </row>
    <row r="24" spans="1:27" ht="27.75" customHeight="1">
      <c r="A24" s="54">
        <v>15</v>
      </c>
      <c r="B24" s="1548" t="s">
        <v>624</v>
      </c>
      <c r="C24" s="1549"/>
      <c r="D24" s="614"/>
      <c r="E24" s="614"/>
      <c r="F24" s="614"/>
      <c r="G24" s="614"/>
      <c r="H24" s="614"/>
      <c r="I24" s="615">
        <v>825000</v>
      </c>
      <c r="J24" s="1162"/>
      <c r="K24" s="1166">
        <f t="shared" si="0"/>
        <v>0</v>
      </c>
      <c r="L24" s="614"/>
      <c r="M24" s="614"/>
      <c r="N24" s="614"/>
      <c r="O24" s="614"/>
      <c r="P24" s="614"/>
      <c r="Q24" s="615">
        <v>825000</v>
      </c>
      <c r="R24" s="1162"/>
      <c r="S24" s="1166">
        <f>+R24/Q24</f>
        <v>0</v>
      </c>
      <c r="T24" s="614"/>
      <c r="U24" s="615"/>
      <c r="V24" s="615"/>
      <c r="W24" s="615"/>
      <c r="X24" s="615"/>
      <c r="Y24" s="615"/>
      <c r="Z24" s="1162"/>
      <c r="AA24" s="616"/>
    </row>
    <row r="25" spans="1:27" ht="27.75" customHeight="1">
      <c r="A25" s="54">
        <v>16</v>
      </c>
      <c r="B25" s="1548" t="s">
        <v>625</v>
      </c>
      <c r="C25" s="1549"/>
      <c r="D25" s="614"/>
      <c r="E25" s="614"/>
      <c r="F25" s="614"/>
      <c r="G25" s="614"/>
      <c r="H25" s="614"/>
      <c r="I25" s="615">
        <v>2266950</v>
      </c>
      <c r="J25" s="1162">
        <v>2266950</v>
      </c>
      <c r="K25" s="1166">
        <f t="shared" si="0"/>
        <v>1</v>
      </c>
      <c r="L25" s="614"/>
      <c r="M25" s="614"/>
      <c r="N25" s="614"/>
      <c r="O25" s="614"/>
      <c r="P25" s="614"/>
      <c r="Q25" s="615">
        <v>2266950</v>
      </c>
      <c r="R25" s="1162">
        <v>2266950</v>
      </c>
      <c r="S25" s="1166">
        <f>+R25/Q25</f>
        <v>1</v>
      </c>
      <c r="T25" s="614"/>
      <c r="U25" s="615"/>
      <c r="V25" s="615"/>
      <c r="W25" s="615"/>
      <c r="X25" s="615"/>
      <c r="Y25" s="615"/>
      <c r="Z25" s="1162"/>
      <c r="AA25" s="616"/>
    </row>
    <row r="26" spans="1:27" ht="27.75" customHeight="1">
      <c r="A26" s="54">
        <v>17</v>
      </c>
      <c r="B26" s="1548" t="s">
        <v>633</v>
      </c>
      <c r="C26" s="1549"/>
      <c r="D26" s="614"/>
      <c r="E26" s="614"/>
      <c r="F26" s="614"/>
      <c r="G26" s="614"/>
      <c r="H26" s="614"/>
      <c r="I26" s="615"/>
      <c r="J26" s="1162">
        <v>158623</v>
      </c>
      <c r="K26" s="1166"/>
      <c r="L26" s="614"/>
      <c r="M26" s="614"/>
      <c r="N26" s="614"/>
      <c r="O26" s="614"/>
      <c r="P26" s="614"/>
      <c r="Q26" s="615"/>
      <c r="R26" s="1162">
        <v>158623</v>
      </c>
      <c r="S26" s="1166"/>
      <c r="T26" s="614"/>
      <c r="U26" s="615"/>
      <c r="V26" s="615"/>
      <c r="W26" s="615"/>
      <c r="X26" s="615"/>
      <c r="Y26" s="615"/>
      <c r="Z26" s="1162"/>
      <c r="AA26" s="616"/>
    </row>
    <row r="27" spans="1:27" ht="27.75" customHeight="1" hidden="1">
      <c r="A27" s="54">
        <v>19</v>
      </c>
      <c r="B27" s="1548"/>
      <c r="C27" s="1549"/>
      <c r="D27" s="614"/>
      <c r="E27" s="614"/>
      <c r="F27" s="614"/>
      <c r="G27" s="614"/>
      <c r="H27" s="614"/>
      <c r="I27" s="615"/>
      <c r="J27" s="1162"/>
      <c r="K27" s="1166"/>
      <c r="L27" s="614"/>
      <c r="M27" s="614"/>
      <c r="N27" s="614"/>
      <c r="O27" s="614"/>
      <c r="P27" s="614"/>
      <c r="Q27" s="615"/>
      <c r="R27" s="1162"/>
      <c r="S27" s="1166"/>
      <c r="T27" s="614"/>
      <c r="U27" s="615"/>
      <c r="V27" s="615"/>
      <c r="W27" s="615"/>
      <c r="X27" s="615"/>
      <c r="Y27" s="615"/>
      <c r="Z27" s="1162"/>
      <c r="AA27" s="616"/>
    </row>
    <row r="28" spans="1:27" ht="27.75" customHeight="1" thickBot="1">
      <c r="A28" s="617">
        <v>18</v>
      </c>
      <c r="B28" s="1564" t="s">
        <v>399</v>
      </c>
      <c r="C28" s="1565"/>
      <c r="D28" s="618"/>
      <c r="E28" s="618"/>
      <c r="F28" s="618"/>
      <c r="G28" s="618"/>
      <c r="H28" s="618"/>
      <c r="I28" s="619"/>
      <c r="J28" s="1163">
        <v>861755</v>
      </c>
      <c r="K28" s="1167"/>
      <c r="L28" s="618"/>
      <c r="M28" s="618"/>
      <c r="N28" s="618"/>
      <c r="O28" s="619"/>
      <c r="P28" s="618"/>
      <c r="Q28" s="619"/>
      <c r="R28" s="1163">
        <v>861755</v>
      </c>
      <c r="S28" s="1167"/>
      <c r="T28" s="618"/>
      <c r="U28" s="619"/>
      <c r="V28" s="619"/>
      <c r="W28" s="619"/>
      <c r="X28" s="619"/>
      <c r="Y28" s="619"/>
      <c r="Z28" s="1163"/>
      <c r="AA28" s="620"/>
    </row>
    <row r="29" spans="1:27" ht="32.25" customHeight="1" thickBot="1">
      <c r="A29" s="621"/>
      <c r="B29" s="1561" t="s">
        <v>379</v>
      </c>
      <c r="C29" s="1561"/>
      <c r="D29" s="622">
        <f aca="true" t="shared" si="2" ref="D29:T29">SUM(D8:D28)</f>
        <v>55251474</v>
      </c>
      <c r="E29" s="622">
        <f t="shared" si="2"/>
        <v>55408474</v>
      </c>
      <c r="F29" s="622">
        <f t="shared" si="2"/>
        <v>59376183</v>
      </c>
      <c r="G29" s="622">
        <f t="shared" si="2"/>
        <v>65725483</v>
      </c>
      <c r="H29" s="622">
        <f>SUM(H8:H28)</f>
        <v>68988778</v>
      </c>
      <c r="I29" s="622">
        <f t="shared" si="2"/>
        <v>143188859</v>
      </c>
      <c r="J29" s="622">
        <f t="shared" si="2"/>
        <v>40485764</v>
      </c>
      <c r="K29" s="1168">
        <f>+J29/I29</f>
        <v>0.282743813190103</v>
      </c>
      <c r="L29" s="622">
        <f t="shared" si="2"/>
        <v>53384779</v>
      </c>
      <c r="M29" s="622">
        <f t="shared" si="2"/>
        <v>53541779</v>
      </c>
      <c r="N29" s="622">
        <f t="shared" si="2"/>
        <v>57509488</v>
      </c>
      <c r="O29" s="622">
        <f t="shared" si="2"/>
        <v>63858788</v>
      </c>
      <c r="P29" s="622">
        <f t="shared" si="2"/>
        <v>67122083</v>
      </c>
      <c r="Q29" s="622">
        <f>SUM(Q8:Q28)</f>
        <v>141274735</v>
      </c>
      <c r="R29" s="622">
        <f>SUM(R8:R28)</f>
        <v>39074529</v>
      </c>
      <c r="S29" s="1168">
        <f>+R29/Q29</f>
        <v>0.27658539936387067</v>
      </c>
      <c r="T29" s="622">
        <f t="shared" si="2"/>
        <v>1866695</v>
      </c>
      <c r="U29" s="623">
        <f aca="true" t="shared" si="3" ref="U29:Z29">SUM(U8:U18)</f>
        <v>1866695</v>
      </c>
      <c r="V29" s="623">
        <f t="shared" si="3"/>
        <v>1866695</v>
      </c>
      <c r="W29" s="623">
        <f t="shared" si="3"/>
        <v>1866695</v>
      </c>
      <c r="X29" s="623">
        <f t="shared" si="3"/>
        <v>1866695</v>
      </c>
      <c r="Y29" s="623">
        <f t="shared" si="3"/>
        <v>1914124</v>
      </c>
      <c r="Z29" s="623">
        <f t="shared" si="3"/>
        <v>1411235</v>
      </c>
      <c r="AA29" s="1168">
        <f>+Z29/Y29</f>
        <v>0.7372745966301034</v>
      </c>
    </row>
    <row r="30" spans="4:10" ht="12.75">
      <c r="D30" s="896" t="str">
        <f>IF(D29='4.sz.m.ÖNK kiadás'!E9," ","HIBA-nem egyenlő"=D19)</f>
        <v> </v>
      </c>
      <c r="I30" s="1009"/>
      <c r="J30" s="1009"/>
    </row>
    <row r="31" spans="4:21" ht="12.75">
      <c r="D31" s="9"/>
      <c r="E31" s="9"/>
      <c r="F31" s="9"/>
      <c r="G31" s="9"/>
      <c r="H31" s="9"/>
      <c r="I31" s="598"/>
      <c r="J31" s="598"/>
      <c r="K31" s="9"/>
      <c r="L31" s="9"/>
      <c r="M31" s="9"/>
      <c r="T31" s="9"/>
      <c r="U31" s="9"/>
    </row>
    <row r="32" spans="4:21" ht="12.75">
      <c r="D32" s="9"/>
      <c r="E32" s="9"/>
      <c r="F32" s="9"/>
      <c r="G32" s="9"/>
      <c r="H32" s="59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4:21" ht="12.75">
      <c r="D33" s="9"/>
      <c r="E33" s="9"/>
      <c r="F33" s="9"/>
      <c r="G33" s="9"/>
      <c r="H33" s="598"/>
      <c r="I33" s="598"/>
      <c r="J33" s="59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4:21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4:21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4:21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4:21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4:21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4:21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4:21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4:21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4:21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4:21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4:21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4:21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4:21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</sheetData>
  <sheetProtection/>
  <mergeCells count="30">
    <mergeCell ref="B27:C27"/>
    <mergeCell ref="B25:C25"/>
    <mergeCell ref="B26:C26"/>
    <mergeCell ref="B21:C21"/>
    <mergeCell ref="B22:C22"/>
    <mergeCell ref="B8:C8"/>
    <mergeCell ref="B9:C9"/>
    <mergeCell ref="B10:C10"/>
    <mergeCell ref="B11:C11"/>
    <mergeCell ref="B12:C12"/>
    <mergeCell ref="B13:C13"/>
    <mergeCell ref="B29:C29"/>
    <mergeCell ref="B15:C15"/>
    <mergeCell ref="B16:C16"/>
    <mergeCell ref="B17:C17"/>
    <mergeCell ref="B18:C18"/>
    <mergeCell ref="B19:C19"/>
    <mergeCell ref="B23:C23"/>
    <mergeCell ref="B24:C24"/>
    <mergeCell ref="B28:C28"/>
    <mergeCell ref="B20:C20"/>
    <mergeCell ref="L1:Y1"/>
    <mergeCell ref="A2:T2"/>
    <mergeCell ref="A3:T3"/>
    <mergeCell ref="A4:T4"/>
    <mergeCell ref="B6:C6"/>
    <mergeCell ref="D6:K6"/>
    <mergeCell ref="L6:S6"/>
    <mergeCell ref="T6:AA6"/>
    <mergeCell ref="T5:Y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zoomScale="70" zoomScaleNormal="70" workbookViewId="0" topLeftCell="A1">
      <selection activeCell="I36" activeCellId="1" sqref="I21 I36"/>
    </sheetView>
  </sheetViews>
  <sheetFormatPr defaultColWidth="9.140625" defaultRowHeight="12.75"/>
  <cols>
    <col min="1" max="1" width="50.28125" style="13" customWidth="1"/>
    <col min="2" max="2" width="13.28125" style="13" customWidth="1"/>
    <col min="3" max="3" width="22.57421875" style="28" customWidth="1"/>
    <col min="4" max="6" width="17.00390625" style="28" hidden="1" customWidth="1"/>
    <col min="7" max="7" width="18.00390625" style="28" hidden="1" customWidth="1"/>
    <col min="8" max="9" width="19.421875" style="28" customWidth="1"/>
    <col min="10" max="10" width="12.8515625" style="28" customWidth="1"/>
    <col min="11" max="11" width="21.00390625" style="28" customWidth="1"/>
    <col min="12" max="14" width="17.00390625" style="28" hidden="1" customWidth="1"/>
    <col min="15" max="15" width="21.421875" style="28" hidden="1" customWidth="1"/>
    <col min="16" max="17" width="17.28125" style="28" customWidth="1"/>
    <col min="18" max="18" width="11.8515625" style="28" customWidth="1"/>
    <col min="19" max="19" width="22.57421875" style="28" customWidth="1"/>
    <col min="20" max="20" width="17.28125" style="13" hidden="1" customWidth="1"/>
    <col min="21" max="21" width="17.421875" style="13" hidden="1" customWidth="1"/>
    <col min="22" max="22" width="18.28125" style="13" hidden="1" customWidth="1"/>
    <col min="23" max="23" width="18.421875" style="13" hidden="1" customWidth="1"/>
    <col min="24" max="25" width="14.421875" style="13" customWidth="1"/>
    <col min="26" max="26" width="16.140625" style="13" customWidth="1"/>
    <col min="27" max="27" width="17.7109375" style="13" customWidth="1"/>
    <col min="28" max="28" width="9.140625" style="13" customWidth="1"/>
    <col min="29" max="29" width="13.28125" style="13" bestFit="1" customWidth="1"/>
    <col min="30" max="30" width="15.57421875" style="13" bestFit="1" customWidth="1"/>
    <col min="31" max="16384" width="9.140625" style="13" customWidth="1"/>
  </cols>
  <sheetData>
    <row r="1" spans="11:23" ht="24.75" customHeight="1">
      <c r="K1" s="1567" t="s">
        <v>642</v>
      </c>
      <c r="L1" s="1567"/>
      <c r="M1" s="1567"/>
      <c r="N1" s="1567"/>
      <c r="O1" s="1567"/>
      <c r="P1" s="1567"/>
      <c r="Q1" s="1567"/>
      <c r="R1" s="1567"/>
      <c r="S1" s="1567"/>
      <c r="T1" s="1567"/>
      <c r="U1" s="1567"/>
      <c r="V1" s="1567"/>
      <c r="W1" s="1567"/>
    </row>
    <row r="2" spans="1:19" ht="37.5" customHeight="1">
      <c r="A2" s="1568" t="s">
        <v>380</v>
      </c>
      <c r="B2" s="1568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569"/>
      <c r="R2" s="1569"/>
      <c r="S2" s="1569"/>
    </row>
    <row r="3" spans="1:19" ht="18.75" customHeight="1">
      <c r="A3" s="1570" t="s">
        <v>506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1570"/>
      <c r="R3" s="1570"/>
      <c r="S3" s="1570"/>
    </row>
    <row r="4" spans="1:19" ht="15.75">
      <c r="A4" s="1571" t="s">
        <v>381</v>
      </c>
      <c r="B4" s="1571"/>
      <c r="C4" s="1571"/>
      <c r="D4" s="1571"/>
      <c r="E4" s="1571"/>
      <c r="F4" s="1571"/>
      <c r="G4" s="1571"/>
      <c r="H4" s="1571"/>
      <c r="I4" s="1571"/>
      <c r="J4" s="1571"/>
      <c r="K4" s="1571"/>
      <c r="L4" s="1571"/>
      <c r="M4" s="1571"/>
      <c r="N4" s="1571"/>
      <c r="O4" s="1571"/>
      <c r="P4" s="1571"/>
      <c r="Q4" s="1571"/>
      <c r="R4" s="1571"/>
      <c r="S4" s="1571"/>
    </row>
    <row r="5" spans="1:19" ht="19.5" thickBot="1">
      <c r="A5" s="625"/>
      <c r="B5" s="625"/>
      <c r="S5" s="624" t="s">
        <v>449</v>
      </c>
    </row>
    <row r="6" spans="1:27" ht="19.5" customHeight="1">
      <c r="A6" s="1572" t="s">
        <v>521</v>
      </c>
      <c r="B6" s="1575" t="s">
        <v>383</v>
      </c>
      <c r="C6" s="1578" t="s">
        <v>5</v>
      </c>
      <c r="D6" s="1579"/>
      <c r="E6" s="1579"/>
      <c r="F6" s="1579"/>
      <c r="G6" s="1579"/>
      <c r="H6" s="1579"/>
      <c r="I6" s="1579"/>
      <c r="J6" s="1580"/>
      <c r="K6" s="1578" t="s">
        <v>384</v>
      </c>
      <c r="L6" s="1579"/>
      <c r="M6" s="1579"/>
      <c r="N6" s="1579"/>
      <c r="O6" s="1579"/>
      <c r="P6" s="1579"/>
      <c r="Q6" s="1579"/>
      <c r="R6" s="1580"/>
      <c r="S6" s="1578" t="s">
        <v>26</v>
      </c>
      <c r="T6" s="1579"/>
      <c r="U6" s="1579"/>
      <c r="V6" s="1579"/>
      <c r="W6" s="1579"/>
      <c r="X6" s="1579"/>
      <c r="Y6" s="1579"/>
      <c r="Z6" s="1587"/>
      <c r="AA6" s="626"/>
    </row>
    <row r="7" spans="1:27" ht="12.75" customHeight="1">
      <c r="A7" s="1573"/>
      <c r="B7" s="1576"/>
      <c r="C7" s="1581"/>
      <c r="D7" s="1582"/>
      <c r="E7" s="1582"/>
      <c r="F7" s="1582"/>
      <c r="G7" s="1582"/>
      <c r="H7" s="1582"/>
      <c r="I7" s="1582"/>
      <c r="J7" s="1583"/>
      <c r="K7" s="1581"/>
      <c r="L7" s="1582"/>
      <c r="M7" s="1582"/>
      <c r="N7" s="1582"/>
      <c r="O7" s="1582"/>
      <c r="P7" s="1582"/>
      <c r="Q7" s="1582"/>
      <c r="R7" s="1583"/>
      <c r="S7" s="1581"/>
      <c r="T7" s="1582"/>
      <c r="U7" s="1582"/>
      <c r="V7" s="1582"/>
      <c r="W7" s="1582"/>
      <c r="X7" s="1582"/>
      <c r="Y7" s="1582"/>
      <c r="Z7" s="1588"/>
      <c r="AA7" s="628"/>
    </row>
    <row r="8" spans="1:27" ht="20.25" customHeight="1" thickBot="1">
      <c r="A8" s="1574"/>
      <c r="B8" s="1577"/>
      <c r="C8" s="1584"/>
      <c r="D8" s="1585"/>
      <c r="E8" s="1585"/>
      <c r="F8" s="1585"/>
      <c r="G8" s="1585"/>
      <c r="H8" s="1585"/>
      <c r="I8" s="1585"/>
      <c r="J8" s="1586"/>
      <c r="K8" s="1584"/>
      <c r="L8" s="1585"/>
      <c r="M8" s="1585"/>
      <c r="N8" s="1585"/>
      <c r="O8" s="1585"/>
      <c r="P8" s="1585"/>
      <c r="Q8" s="1585"/>
      <c r="R8" s="1586"/>
      <c r="S8" s="1584"/>
      <c r="T8" s="1585"/>
      <c r="U8" s="1585"/>
      <c r="V8" s="1585"/>
      <c r="W8" s="1585"/>
      <c r="X8" s="1585"/>
      <c r="Y8" s="1585"/>
      <c r="Z8" s="1589"/>
      <c r="AA8" s="628"/>
    </row>
    <row r="9" spans="1:27" ht="19.5" thickTop="1">
      <c r="A9" s="629"/>
      <c r="B9" s="627"/>
      <c r="C9" s="630" t="s">
        <v>65</v>
      </c>
      <c r="D9" s="630" t="s">
        <v>228</v>
      </c>
      <c r="E9" s="630" t="s">
        <v>231</v>
      </c>
      <c r="F9" s="630" t="s">
        <v>233</v>
      </c>
      <c r="G9" s="631" t="s">
        <v>246</v>
      </c>
      <c r="H9" s="631" t="s">
        <v>250</v>
      </c>
      <c r="I9" s="631" t="s">
        <v>236</v>
      </c>
      <c r="J9" s="631" t="s">
        <v>237</v>
      </c>
      <c r="K9" s="630" t="s">
        <v>65</v>
      </c>
      <c r="L9" s="630" t="s">
        <v>228</v>
      </c>
      <c r="M9" s="630" t="s">
        <v>231</v>
      </c>
      <c r="N9" s="630" t="s">
        <v>233</v>
      </c>
      <c r="O9" s="631" t="s">
        <v>246</v>
      </c>
      <c r="P9" s="631" t="s">
        <v>250</v>
      </c>
      <c r="Q9" s="631" t="s">
        <v>236</v>
      </c>
      <c r="R9" s="631" t="s">
        <v>237</v>
      </c>
      <c r="S9" s="630" t="s">
        <v>65</v>
      </c>
      <c r="T9" s="630" t="s">
        <v>228</v>
      </c>
      <c r="U9" s="630" t="s">
        <v>231</v>
      </c>
      <c r="V9" s="630" t="s">
        <v>233</v>
      </c>
      <c r="W9" s="631" t="s">
        <v>246</v>
      </c>
      <c r="X9" s="631" t="s">
        <v>250</v>
      </c>
      <c r="Y9" s="631" t="s">
        <v>236</v>
      </c>
      <c r="Z9" s="631" t="s">
        <v>237</v>
      </c>
      <c r="AA9" s="628"/>
    </row>
    <row r="10" spans="1:27" ht="27" customHeight="1">
      <c r="A10" s="632" t="s">
        <v>522</v>
      </c>
      <c r="B10" s="633" t="s">
        <v>207</v>
      </c>
      <c r="C10" s="634">
        <v>100000</v>
      </c>
      <c r="D10" s="634">
        <v>100000</v>
      </c>
      <c r="E10" s="634">
        <v>100000</v>
      </c>
      <c r="F10" s="634">
        <v>100000</v>
      </c>
      <c r="G10" s="634">
        <v>100000</v>
      </c>
      <c r="H10" s="634">
        <v>100000</v>
      </c>
      <c r="I10" s="635">
        <v>0</v>
      </c>
      <c r="J10" s="636">
        <f>+I10/H10</f>
        <v>0</v>
      </c>
      <c r="K10" s="634"/>
      <c r="L10" s="634"/>
      <c r="M10" s="634"/>
      <c r="N10" s="634"/>
      <c r="O10" s="635"/>
      <c r="P10" s="634"/>
      <c r="Q10" s="635"/>
      <c r="R10" s="636"/>
      <c r="S10" s="634">
        <f aca="true" t="shared" si="0" ref="S10:W16">C10-K10</f>
        <v>100000</v>
      </c>
      <c r="T10" s="634">
        <f t="shared" si="0"/>
        <v>100000</v>
      </c>
      <c r="U10" s="634">
        <f t="shared" si="0"/>
        <v>100000</v>
      </c>
      <c r="V10" s="634">
        <f t="shared" si="0"/>
        <v>100000</v>
      </c>
      <c r="W10" s="634">
        <f t="shared" si="0"/>
        <v>100000</v>
      </c>
      <c r="X10" s="634">
        <v>100000</v>
      </c>
      <c r="Y10" s="635">
        <v>0</v>
      </c>
      <c r="Z10" s="636">
        <f>+Y10/X10</f>
        <v>0</v>
      </c>
      <c r="AA10" s="628"/>
    </row>
    <row r="11" spans="1:27" ht="27.75" customHeight="1">
      <c r="A11" s="632" t="s">
        <v>523</v>
      </c>
      <c r="B11" s="633" t="s">
        <v>207</v>
      </c>
      <c r="C11" s="634">
        <v>500000</v>
      </c>
      <c r="D11" s="634">
        <v>500000</v>
      </c>
      <c r="E11" s="634">
        <v>500000</v>
      </c>
      <c r="F11" s="634">
        <v>500000</v>
      </c>
      <c r="G11" s="634">
        <v>500000</v>
      </c>
      <c r="H11" s="634">
        <v>500000</v>
      </c>
      <c r="I11" s="635">
        <v>440000</v>
      </c>
      <c r="J11" s="636">
        <f aca="true" t="shared" si="1" ref="J11:J20">+I11/H11</f>
        <v>0.88</v>
      </c>
      <c r="K11" s="634"/>
      <c r="L11" s="634"/>
      <c r="M11" s="634"/>
      <c r="N11" s="634"/>
      <c r="O11" s="634"/>
      <c r="P11" s="634"/>
      <c r="Q11" s="635"/>
      <c r="R11" s="636"/>
      <c r="S11" s="634">
        <f t="shared" si="0"/>
        <v>500000</v>
      </c>
      <c r="T11" s="634">
        <f t="shared" si="0"/>
        <v>500000</v>
      </c>
      <c r="U11" s="634">
        <f t="shared" si="0"/>
        <v>500000</v>
      </c>
      <c r="V11" s="634">
        <f t="shared" si="0"/>
        <v>500000</v>
      </c>
      <c r="W11" s="634">
        <f t="shared" si="0"/>
        <v>500000</v>
      </c>
      <c r="X11" s="634">
        <v>500000</v>
      </c>
      <c r="Y11" s="635">
        <v>440000</v>
      </c>
      <c r="Z11" s="636">
        <f>+Y11/X11</f>
        <v>0.88</v>
      </c>
      <c r="AA11" s="628"/>
    </row>
    <row r="12" spans="1:27" ht="27" customHeight="1" hidden="1">
      <c r="A12" s="632" t="s">
        <v>385</v>
      </c>
      <c r="B12" s="633" t="s">
        <v>206</v>
      </c>
      <c r="C12" s="634"/>
      <c r="D12" s="634"/>
      <c r="E12" s="634"/>
      <c r="F12" s="634"/>
      <c r="G12" s="634"/>
      <c r="H12" s="634"/>
      <c r="I12" s="635"/>
      <c r="J12" s="637" t="e">
        <f t="shared" si="1"/>
        <v>#DIV/0!</v>
      </c>
      <c r="K12" s="634"/>
      <c r="L12" s="634"/>
      <c r="M12" s="634"/>
      <c r="N12" s="634"/>
      <c r="O12" s="634"/>
      <c r="P12" s="634"/>
      <c r="Q12" s="635"/>
      <c r="R12" s="637"/>
      <c r="S12" s="634">
        <f t="shared" si="0"/>
        <v>0</v>
      </c>
      <c r="T12" s="634">
        <f t="shared" si="0"/>
        <v>0</v>
      </c>
      <c r="U12" s="634">
        <f t="shared" si="0"/>
        <v>0</v>
      </c>
      <c r="V12" s="634">
        <f t="shared" si="0"/>
        <v>0</v>
      </c>
      <c r="W12" s="634">
        <f t="shared" si="0"/>
        <v>0</v>
      </c>
      <c r="X12" s="634"/>
      <c r="Y12" s="635"/>
      <c r="Z12" s="637" t="e">
        <f>+Y12/X12</f>
        <v>#DIV/0!</v>
      </c>
      <c r="AA12" s="628"/>
    </row>
    <row r="13" spans="1:29" ht="28.5" customHeight="1">
      <c r="A13" s="632" t="s">
        <v>524</v>
      </c>
      <c r="B13" s="633" t="s">
        <v>207</v>
      </c>
      <c r="C13" s="634">
        <f aca="true" t="shared" si="2" ref="C13:H13">150000+500000+500000</f>
        <v>1150000</v>
      </c>
      <c r="D13" s="634">
        <f t="shared" si="2"/>
        <v>1150000</v>
      </c>
      <c r="E13" s="634">
        <f t="shared" si="2"/>
        <v>1150000</v>
      </c>
      <c r="F13" s="634">
        <f t="shared" si="2"/>
        <v>1150000</v>
      </c>
      <c r="G13" s="634">
        <f t="shared" si="2"/>
        <v>1150000</v>
      </c>
      <c r="H13" s="634">
        <f t="shared" si="2"/>
        <v>1150000</v>
      </c>
      <c r="I13" s="635">
        <v>660000</v>
      </c>
      <c r="J13" s="637">
        <f t="shared" si="1"/>
        <v>0.5739130434782609</v>
      </c>
      <c r="K13" s="634"/>
      <c r="L13" s="634"/>
      <c r="M13" s="634"/>
      <c r="N13" s="634"/>
      <c r="O13" s="634"/>
      <c r="P13" s="634"/>
      <c r="Q13" s="635"/>
      <c r="R13" s="637"/>
      <c r="S13" s="634">
        <f t="shared" si="0"/>
        <v>1150000</v>
      </c>
      <c r="T13" s="634">
        <f t="shared" si="0"/>
        <v>1150000</v>
      </c>
      <c r="U13" s="634">
        <f t="shared" si="0"/>
        <v>1150000</v>
      </c>
      <c r="V13" s="634">
        <f t="shared" si="0"/>
        <v>1150000</v>
      </c>
      <c r="W13" s="634">
        <f t="shared" si="0"/>
        <v>1150000</v>
      </c>
      <c r="X13" s="634">
        <f>150000+500000+500000</f>
        <v>1150000</v>
      </c>
      <c r="Y13" s="635">
        <v>660000</v>
      </c>
      <c r="Z13" s="637">
        <f>+Y13/X13</f>
        <v>0.5739130434782609</v>
      </c>
      <c r="AA13" s="628"/>
      <c r="AC13" s="28"/>
    </row>
    <row r="14" spans="1:27" ht="32.25" customHeight="1">
      <c r="A14" s="632" t="s">
        <v>525</v>
      </c>
      <c r="B14" s="633" t="s">
        <v>207</v>
      </c>
      <c r="C14" s="634">
        <v>500000</v>
      </c>
      <c r="D14" s="634">
        <v>500000</v>
      </c>
      <c r="E14" s="634">
        <v>500000</v>
      </c>
      <c r="F14" s="634">
        <v>500000</v>
      </c>
      <c r="G14" s="634">
        <v>500000</v>
      </c>
      <c r="H14" s="634">
        <v>500000</v>
      </c>
      <c r="I14" s="635">
        <v>316438</v>
      </c>
      <c r="J14" s="637">
        <f t="shared" si="1"/>
        <v>0.632876</v>
      </c>
      <c r="K14" s="634"/>
      <c r="L14" s="634"/>
      <c r="M14" s="634"/>
      <c r="N14" s="634"/>
      <c r="O14" s="634"/>
      <c r="P14" s="634"/>
      <c r="Q14" s="635"/>
      <c r="R14" s="637"/>
      <c r="S14" s="634">
        <f t="shared" si="0"/>
        <v>500000</v>
      </c>
      <c r="T14" s="634">
        <f t="shared" si="0"/>
        <v>500000</v>
      </c>
      <c r="U14" s="634">
        <f t="shared" si="0"/>
        <v>500000</v>
      </c>
      <c r="V14" s="634">
        <f t="shared" si="0"/>
        <v>500000</v>
      </c>
      <c r="W14" s="634">
        <f t="shared" si="0"/>
        <v>500000</v>
      </c>
      <c r="X14" s="634">
        <v>500000</v>
      </c>
      <c r="Y14" s="635">
        <v>316438</v>
      </c>
      <c r="Z14" s="637">
        <f>+Y14/X14</f>
        <v>0.632876</v>
      </c>
      <c r="AA14" s="628"/>
    </row>
    <row r="15" spans="1:27" ht="33" customHeight="1">
      <c r="A15" s="632" t="s">
        <v>526</v>
      </c>
      <c r="B15" s="633" t="s">
        <v>206</v>
      </c>
      <c r="C15" s="639">
        <v>530000</v>
      </c>
      <c r="D15" s="639">
        <v>530000</v>
      </c>
      <c r="E15" s="639">
        <v>530000</v>
      </c>
      <c r="F15" s="639">
        <v>530000</v>
      </c>
      <c r="G15" s="639">
        <v>530000</v>
      </c>
      <c r="H15" s="639"/>
      <c r="I15" s="1169"/>
      <c r="J15" s="637"/>
      <c r="K15" s="639"/>
      <c r="L15" s="639"/>
      <c r="M15" s="639"/>
      <c r="N15" s="639"/>
      <c r="O15" s="639"/>
      <c r="P15" s="639"/>
      <c r="Q15" s="1169"/>
      <c r="R15" s="637"/>
      <c r="S15" s="634">
        <f t="shared" si="0"/>
        <v>530000</v>
      </c>
      <c r="T15" s="634">
        <f t="shared" si="0"/>
        <v>530000</v>
      </c>
      <c r="U15" s="634">
        <f t="shared" si="0"/>
        <v>530000</v>
      </c>
      <c r="V15" s="634">
        <f t="shared" si="0"/>
        <v>530000</v>
      </c>
      <c r="W15" s="634">
        <f t="shared" si="0"/>
        <v>530000</v>
      </c>
      <c r="X15" s="639"/>
      <c r="Y15" s="1169"/>
      <c r="Z15" s="637"/>
      <c r="AA15" s="628"/>
    </row>
    <row r="16" spans="1:27" ht="33" customHeight="1" thickBot="1">
      <c r="A16" s="632" t="s">
        <v>527</v>
      </c>
      <c r="B16" s="633" t="s">
        <v>207</v>
      </c>
      <c r="C16" s="639">
        <v>245952</v>
      </c>
      <c r="D16" s="639">
        <v>245952</v>
      </c>
      <c r="E16" s="639">
        <v>245952</v>
      </c>
      <c r="F16" s="639">
        <v>245952</v>
      </c>
      <c r="G16" s="639">
        <v>245952</v>
      </c>
      <c r="H16" s="639"/>
      <c r="I16" s="639"/>
      <c r="J16" s="637"/>
      <c r="K16" s="639">
        <v>143640</v>
      </c>
      <c r="L16" s="639">
        <v>143640</v>
      </c>
      <c r="M16" s="639">
        <v>143640</v>
      </c>
      <c r="N16" s="639">
        <v>143640</v>
      </c>
      <c r="O16" s="639">
        <v>143640</v>
      </c>
      <c r="P16" s="639"/>
      <c r="Q16" s="639"/>
      <c r="R16" s="637"/>
      <c r="S16" s="634">
        <f t="shared" si="0"/>
        <v>102312</v>
      </c>
      <c r="T16" s="634">
        <f t="shared" si="0"/>
        <v>102312</v>
      </c>
      <c r="U16" s="634">
        <f t="shared" si="0"/>
        <v>102312</v>
      </c>
      <c r="V16" s="634">
        <f t="shared" si="0"/>
        <v>102312</v>
      </c>
      <c r="W16" s="634">
        <f t="shared" si="0"/>
        <v>102312</v>
      </c>
      <c r="X16" s="639"/>
      <c r="Y16" s="639"/>
      <c r="Z16" s="637"/>
      <c r="AA16" s="628"/>
    </row>
    <row r="17" spans="1:27" ht="33" customHeight="1" hidden="1" thickBot="1">
      <c r="A17" s="789" t="s">
        <v>440</v>
      </c>
      <c r="B17" s="790" t="s">
        <v>207</v>
      </c>
      <c r="C17" s="791"/>
      <c r="D17" s="791"/>
      <c r="E17" s="791"/>
      <c r="F17" s="791"/>
      <c r="G17" s="791"/>
      <c r="H17" s="791"/>
      <c r="I17" s="791"/>
      <c r="J17" s="792" t="e">
        <f t="shared" si="1"/>
        <v>#DIV/0!</v>
      </c>
      <c r="K17" s="791"/>
      <c r="L17" s="791"/>
      <c r="M17" s="791"/>
      <c r="N17" s="791"/>
      <c r="O17" s="791"/>
      <c r="P17" s="791"/>
      <c r="Q17" s="791"/>
      <c r="R17" s="792" t="e">
        <f>+Q17/P17</f>
        <v>#DIV/0!</v>
      </c>
      <c r="S17" s="639"/>
      <c r="T17" s="639"/>
      <c r="U17" s="639"/>
      <c r="V17" s="639"/>
      <c r="W17" s="639"/>
      <c r="X17" s="791"/>
      <c r="Y17" s="791"/>
      <c r="Z17" s="792" t="e">
        <f>+Y17/X17</f>
        <v>#DIV/0!</v>
      </c>
      <c r="AA17" s="628"/>
    </row>
    <row r="18" spans="1:27" ht="33" customHeight="1" hidden="1">
      <c r="A18" s="632" t="s">
        <v>457</v>
      </c>
      <c r="B18" s="633" t="s">
        <v>207</v>
      </c>
      <c r="C18" s="639"/>
      <c r="D18" s="639"/>
      <c r="E18" s="639"/>
      <c r="F18" s="639"/>
      <c r="G18" s="639"/>
      <c r="H18" s="639"/>
      <c r="I18" s="639"/>
      <c r="J18" s="637" t="e">
        <f t="shared" si="1"/>
        <v>#DIV/0!</v>
      </c>
      <c r="K18" s="639"/>
      <c r="L18" s="639"/>
      <c r="M18" s="639"/>
      <c r="N18" s="639"/>
      <c r="O18" s="639"/>
      <c r="P18" s="639"/>
      <c r="Q18" s="639"/>
      <c r="R18" s="637" t="e">
        <f>+Q18/P18</f>
        <v>#DIV/0!</v>
      </c>
      <c r="S18" s="639"/>
      <c r="T18" s="639"/>
      <c r="U18" s="639"/>
      <c r="V18" s="639"/>
      <c r="W18" s="639"/>
      <c r="X18" s="639"/>
      <c r="Y18" s="639"/>
      <c r="Z18" s="637" t="e">
        <f>+Y18/X18</f>
        <v>#DIV/0!</v>
      </c>
      <c r="AA18" s="795"/>
    </row>
    <row r="19" spans="1:27" ht="33" customHeight="1" hidden="1">
      <c r="A19" s="866" t="s">
        <v>440</v>
      </c>
      <c r="B19" s="867" t="s">
        <v>207</v>
      </c>
      <c r="C19" s="868"/>
      <c r="D19" s="868"/>
      <c r="E19" s="868"/>
      <c r="F19" s="868"/>
      <c r="G19" s="868"/>
      <c r="H19" s="868"/>
      <c r="I19" s="868"/>
      <c r="J19" s="869" t="e">
        <f t="shared" si="1"/>
        <v>#DIV/0!</v>
      </c>
      <c r="K19" s="868"/>
      <c r="L19" s="868"/>
      <c r="M19" s="868"/>
      <c r="N19" s="868"/>
      <c r="O19" s="868"/>
      <c r="P19" s="868"/>
      <c r="Q19" s="868"/>
      <c r="R19" s="869" t="e">
        <f>+Q19/P19</f>
        <v>#DIV/0!</v>
      </c>
      <c r="S19" s="868"/>
      <c r="T19" s="868"/>
      <c r="U19" s="868"/>
      <c r="V19" s="868"/>
      <c r="W19" s="868"/>
      <c r="X19" s="868"/>
      <c r="Y19" s="868"/>
      <c r="Z19" s="869" t="e">
        <f>+Y19/X19</f>
        <v>#DIV/0!</v>
      </c>
      <c r="AA19" s="795"/>
    </row>
    <row r="20" spans="1:27" ht="33" customHeight="1" hidden="1" thickBot="1">
      <c r="A20" s="789" t="s">
        <v>495</v>
      </c>
      <c r="B20" s="790" t="s">
        <v>207</v>
      </c>
      <c r="C20" s="791"/>
      <c r="D20" s="791"/>
      <c r="E20" s="791"/>
      <c r="F20" s="791"/>
      <c r="G20" s="791"/>
      <c r="H20" s="791"/>
      <c r="I20" s="791"/>
      <c r="J20" s="792" t="e">
        <f t="shared" si="1"/>
        <v>#DIV/0!</v>
      </c>
      <c r="K20" s="791"/>
      <c r="L20" s="791"/>
      <c r="M20" s="791"/>
      <c r="N20" s="791"/>
      <c r="O20" s="791"/>
      <c r="P20" s="791"/>
      <c r="Q20" s="791"/>
      <c r="R20" s="792" t="e">
        <f>+Q20/P20</f>
        <v>#DIV/0!</v>
      </c>
      <c r="S20" s="791"/>
      <c r="T20" s="791"/>
      <c r="U20" s="791"/>
      <c r="V20" s="791"/>
      <c r="W20" s="791"/>
      <c r="X20" s="791"/>
      <c r="Y20" s="791"/>
      <c r="Z20" s="792" t="e">
        <f>+Y20/X20</f>
        <v>#DIV/0!</v>
      </c>
      <c r="AA20" s="795"/>
    </row>
    <row r="21" spans="1:27" ht="39" customHeight="1" thickBot="1" thickTop="1">
      <c r="A21" s="640" t="s">
        <v>21</v>
      </c>
      <c r="B21" s="641"/>
      <c r="C21" s="642">
        <f aca="true" t="shared" si="3" ref="C21:I21">SUM(C10:C18)</f>
        <v>3025952</v>
      </c>
      <c r="D21" s="642">
        <f t="shared" si="3"/>
        <v>3025952</v>
      </c>
      <c r="E21" s="642">
        <f t="shared" si="3"/>
        <v>3025952</v>
      </c>
      <c r="F21" s="642">
        <f t="shared" si="3"/>
        <v>3025952</v>
      </c>
      <c r="G21" s="642">
        <f t="shared" si="3"/>
        <v>3025952</v>
      </c>
      <c r="H21" s="642">
        <f t="shared" si="3"/>
        <v>2250000</v>
      </c>
      <c r="I21" s="642">
        <f t="shared" si="3"/>
        <v>1416438</v>
      </c>
      <c r="J21" s="1170">
        <f>+I21/H21</f>
        <v>0.629528</v>
      </c>
      <c r="K21" s="642">
        <f>SUM(K10:K18)</f>
        <v>143640</v>
      </c>
      <c r="L21" s="642">
        <f>SUM(L10:L18)</f>
        <v>143640</v>
      </c>
      <c r="M21" s="642">
        <f>SUM(M10:M18)</f>
        <v>143640</v>
      </c>
      <c r="N21" s="642">
        <f>SUM(N10:N18)</f>
        <v>143640</v>
      </c>
      <c r="O21" s="642">
        <f>SUM(O10:O18)</f>
        <v>143640</v>
      </c>
      <c r="P21" s="642">
        <f>SUM(P10:P16)</f>
        <v>0</v>
      </c>
      <c r="Q21" s="642">
        <f>SUM(Q10:Q18)</f>
        <v>0</v>
      </c>
      <c r="R21" s="1170"/>
      <c r="S21" s="642">
        <f>SUM(S10:S18)</f>
        <v>2882312</v>
      </c>
      <c r="T21" s="642">
        <f>SUM(T10:T18)</f>
        <v>2882312</v>
      </c>
      <c r="U21" s="642">
        <f>SUM(U10:U18)</f>
        <v>2882312</v>
      </c>
      <c r="V21" s="642">
        <f>SUM(V10:V18)</f>
        <v>2882312</v>
      </c>
      <c r="W21" s="642">
        <f>SUM(W10:W18)</f>
        <v>2882312</v>
      </c>
      <c r="X21" s="642">
        <f>SUM(X10:X16)</f>
        <v>2250000</v>
      </c>
      <c r="Y21" s="642">
        <f>SUM(Y10:Y18)</f>
        <v>1416438</v>
      </c>
      <c r="Z21" s="1170">
        <f>+Y21/X21</f>
        <v>0.629528</v>
      </c>
      <c r="AA21" s="795"/>
    </row>
    <row r="22" spans="1:27" ht="19.5" customHeight="1">
      <c r="A22" s="644"/>
      <c r="B22" s="644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X22" s="28"/>
      <c r="Y22" s="28"/>
      <c r="AA22" s="646"/>
    </row>
    <row r="23" spans="1:19" ht="66" customHeight="1" thickBot="1">
      <c r="A23" s="1590" t="s">
        <v>386</v>
      </c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</row>
    <row r="24" spans="1:27" ht="19.5" customHeight="1">
      <c r="A24" s="1572" t="s">
        <v>382</v>
      </c>
      <c r="B24" s="1575" t="s">
        <v>383</v>
      </c>
      <c r="C24" s="1578" t="s">
        <v>5</v>
      </c>
      <c r="D24" s="1579"/>
      <c r="E24" s="1579"/>
      <c r="F24" s="1579"/>
      <c r="G24" s="1579"/>
      <c r="H24" s="1579"/>
      <c r="I24" s="1579"/>
      <c r="J24" s="1580"/>
      <c r="K24" s="1578" t="s">
        <v>384</v>
      </c>
      <c r="L24" s="1579"/>
      <c r="M24" s="1579"/>
      <c r="N24" s="1579"/>
      <c r="O24" s="1579"/>
      <c r="P24" s="1579"/>
      <c r="Q24" s="1579"/>
      <c r="R24" s="1580"/>
      <c r="S24" s="1578" t="s">
        <v>26</v>
      </c>
      <c r="T24" s="1579"/>
      <c r="U24" s="1579"/>
      <c r="V24" s="1579"/>
      <c r="W24" s="1579"/>
      <c r="X24" s="1579"/>
      <c r="Y24" s="1579"/>
      <c r="Z24" s="1587"/>
      <c r="AA24" s="628"/>
    </row>
    <row r="25" spans="1:27" s="648" customFormat="1" ht="19.5" customHeight="1">
      <c r="A25" s="1573"/>
      <c r="B25" s="1576"/>
      <c r="C25" s="1581"/>
      <c r="D25" s="1582"/>
      <c r="E25" s="1582"/>
      <c r="F25" s="1582"/>
      <c r="G25" s="1582"/>
      <c r="H25" s="1582"/>
      <c r="I25" s="1582"/>
      <c r="J25" s="1583"/>
      <c r="K25" s="1581"/>
      <c r="L25" s="1582"/>
      <c r="M25" s="1582"/>
      <c r="N25" s="1582"/>
      <c r="O25" s="1582"/>
      <c r="P25" s="1582"/>
      <c r="Q25" s="1582"/>
      <c r="R25" s="1583"/>
      <c r="S25" s="1581"/>
      <c r="T25" s="1582"/>
      <c r="U25" s="1582"/>
      <c r="V25" s="1582"/>
      <c r="W25" s="1582"/>
      <c r="X25" s="1582"/>
      <c r="Y25" s="1582"/>
      <c r="Z25" s="1588"/>
      <c r="AA25" s="647"/>
    </row>
    <row r="26" spans="1:27" s="648" customFormat="1" ht="19.5" customHeight="1" thickBot="1">
      <c r="A26" s="1574"/>
      <c r="B26" s="1577"/>
      <c r="C26" s="1584"/>
      <c r="D26" s="1585"/>
      <c r="E26" s="1585"/>
      <c r="F26" s="1585"/>
      <c r="G26" s="1585"/>
      <c r="H26" s="1585"/>
      <c r="I26" s="1585"/>
      <c r="J26" s="1586"/>
      <c r="K26" s="1584"/>
      <c r="L26" s="1585"/>
      <c r="M26" s="1585"/>
      <c r="N26" s="1585"/>
      <c r="O26" s="1585"/>
      <c r="P26" s="1585"/>
      <c r="Q26" s="1585"/>
      <c r="R26" s="1586"/>
      <c r="S26" s="1584"/>
      <c r="T26" s="1585"/>
      <c r="U26" s="1585"/>
      <c r="V26" s="1585"/>
      <c r="W26" s="1585"/>
      <c r="X26" s="1585"/>
      <c r="Y26" s="1585"/>
      <c r="Z26" s="1589"/>
      <c r="AA26" s="647"/>
    </row>
    <row r="27" spans="1:27" s="648" customFormat="1" ht="57.75" customHeight="1" thickTop="1">
      <c r="A27" s="649"/>
      <c r="B27" s="650"/>
      <c r="C27" s="631" t="s">
        <v>65</v>
      </c>
      <c r="D27" s="631" t="s">
        <v>228</v>
      </c>
      <c r="E27" s="631" t="s">
        <v>231</v>
      </c>
      <c r="F27" s="630" t="s">
        <v>233</v>
      </c>
      <c r="G27" s="631" t="s">
        <v>246</v>
      </c>
      <c r="H27" s="631" t="s">
        <v>250</v>
      </c>
      <c r="I27" s="631" t="s">
        <v>236</v>
      </c>
      <c r="J27" s="631" t="s">
        <v>237</v>
      </c>
      <c r="K27" s="631" t="s">
        <v>65</v>
      </c>
      <c r="L27" s="631" t="s">
        <v>228</v>
      </c>
      <c r="M27" s="631" t="s">
        <v>231</v>
      </c>
      <c r="N27" s="630" t="s">
        <v>233</v>
      </c>
      <c r="O27" s="631" t="s">
        <v>246</v>
      </c>
      <c r="P27" s="631" t="s">
        <v>250</v>
      </c>
      <c r="Q27" s="631" t="s">
        <v>236</v>
      </c>
      <c r="R27" s="631" t="s">
        <v>237</v>
      </c>
      <c r="S27" s="631" t="s">
        <v>65</v>
      </c>
      <c r="T27" s="631" t="s">
        <v>228</v>
      </c>
      <c r="U27" s="631" t="s">
        <v>231</v>
      </c>
      <c r="V27" s="631" t="s">
        <v>233</v>
      </c>
      <c r="W27" s="631" t="s">
        <v>246</v>
      </c>
      <c r="X27" s="631" t="s">
        <v>250</v>
      </c>
      <c r="Y27" s="631" t="s">
        <v>236</v>
      </c>
      <c r="Z27" s="631" t="s">
        <v>237</v>
      </c>
      <c r="AA27" s="647"/>
    </row>
    <row r="28" spans="1:27" s="648" customFormat="1" ht="34.5" customHeight="1" thickBot="1">
      <c r="A28" s="651" t="s">
        <v>575</v>
      </c>
      <c r="B28" s="652" t="s">
        <v>207</v>
      </c>
      <c r="C28" s="654"/>
      <c r="D28" s="654"/>
      <c r="E28" s="654"/>
      <c r="F28" s="654"/>
      <c r="G28" s="654">
        <v>211000</v>
      </c>
      <c r="H28" s="654">
        <v>392000</v>
      </c>
      <c r="I28" s="654">
        <v>392000</v>
      </c>
      <c r="J28" s="636">
        <f>+I28/H28</f>
        <v>1</v>
      </c>
      <c r="K28" s="654"/>
      <c r="L28" s="654"/>
      <c r="M28" s="654"/>
      <c r="N28" s="654"/>
      <c r="O28" s="654">
        <v>211000</v>
      </c>
      <c r="P28" s="654">
        <v>392000</v>
      </c>
      <c r="Q28" s="654">
        <v>392000</v>
      </c>
      <c r="R28" s="636">
        <f>+Q28/P28</f>
        <v>1</v>
      </c>
      <c r="S28" s="654"/>
      <c r="T28" s="654"/>
      <c r="U28" s="654"/>
      <c r="V28" s="654"/>
      <c r="W28" s="653"/>
      <c r="X28" s="653"/>
      <c r="Y28" s="653"/>
      <c r="Z28" s="636"/>
      <c r="AA28" s="647"/>
    </row>
    <row r="29" spans="1:27" s="648" customFormat="1" ht="15" hidden="1">
      <c r="A29" s="655" t="s">
        <v>387</v>
      </c>
      <c r="B29" s="656" t="s">
        <v>207</v>
      </c>
      <c r="C29" s="654"/>
      <c r="D29" s="654"/>
      <c r="E29" s="654"/>
      <c r="F29" s="654"/>
      <c r="G29" s="654"/>
      <c r="H29" s="654"/>
      <c r="I29" s="654"/>
      <c r="J29" s="636"/>
      <c r="K29" s="654"/>
      <c r="L29" s="654"/>
      <c r="M29" s="654"/>
      <c r="N29" s="654"/>
      <c r="O29" s="654"/>
      <c r="P29" s="653"/>
      <c r="Q29" s="654"/>
      <c r="R29" s="636"/>
      <c r="S29" s="653"/>
      <c r="T29" s="653"/>
      <c r="U29" s="653"/>
      <c r="V29" s="654"/>
      <c r="W29" s="654"/>
      <c r="X29" s="654"/>
      <c r="Y29" s="653"/>
      <c r="Z29" s="636" t="e">
        <f>W29/T29</f>
        <v>#DIV/0!</v>
      </c>
      <c r="AA29" s="647"/>
    </row>
    <row r="30" spans="1:27" s="648" customFormat="1" ht="30.75" customHeight="1" hidden="1">
      <c r="A30" s="655" t="s">
        <v>388</v>
      </c>
      <c r="B30" s="656" t="s">
        <v>207</v>
      </c>
      <c r="C30" s="654"/>
      <c r="D30" s="654"/>
      <c r="E30" s="654"/>
      <c r="F30" s="654"/>
      <c r="G30" s="654"/>
      <c r="H30" s="654"/>
      <c r="I30" s="654"/>
      <c r="J30" s="636"/>
      <c r="K30" s="654"/>
      <c r="L30" s="654"/>
      <c r="M30" s="654"/>
      <c r="N30" s="654"/>
      <c r="O30" s="654"/>
      <c r="P30" s="653"/>
      <c r="Q30" s="654"/>
      <c r="R30" s="636"/>
      <c r="S30" s="653"/>
      <c r="T30" s="653"/>
      <c r="U30" s="653"/>
      <c r="V30" s="654"/>
      <c r="W30" s="654"/>
      <c r="X30" s="654"/>
      <c r="Y30" s="653"/>
      <c r="Z30" s="636" t="e">
        <f>W30/T30</f>
        <v>#DIV/0!</v>
      </c>
      <c r="AA30" s="647"/>
    </row>
    <row r="31" spans="1:27" s="648" customFormat="1" ht="31.5" customHeight="1" hidden="1">
      <c r="A31" s="655" t="s">
        <v>389</v>
      </c>
      <c r="B31" s="656" t="s">
        <v>207</v>
      </c>
      <c r="C31" s="654"/>
      <c r="D31" s="654"/>
      <c r="E31" s="654"/>
      <c r="F31" s="654"/>
      <c r="G31" s="654"/>
      <c r="H31" s="654"/>
      <c r="I31" s="654"/>
      <c r="J31" s="636"/>
      <c r="K31" s="654"/>
      <c r="L31" s="654"/>
      <c r="M31" s="654"/>
      <c r="N31" s="654"/>
      <c r="O31" s="654"/>
      <c r="P31" s="654"/>
      <c r="Q31" s="654"/>
      <c r="R31" s="636"/>
      <c r="S31" s="653"/>
      <c r="T31" s="653"/>
      <c r="U31" s="653"/>
      <c r="V31" s="654"/>
      <c r="W31" s="654"/>
      <c r="X31" s="654"/>
      <c r="Y31" s="653"/>
      <c r="Z31" s="636" t="e">
        <f>W31/T31</f>
        <v>#DIV/0!</v>
      </c>
      <c r="AA31" s="647"/>
    </row>
    <row r="32" spans="1:27" s="648" customFormat="1" ht="31.5" customHeight="1" hidden="1">
      <c r="A32" s="655" t="s">
        <v>390</v>
      </c>
      <c r="B32" s="656" t="s">
        <v>207</v>
      </c>
      <c r="C32" s="639"/>
      <c r="D32" s="639"/>
      <c r="E32" s="639"/>
      <c r="F32" s="639"/>
      <c r="G32" s="639"/>
      <c r="H32" s="639"/>
      <c r="I32" s="639"/>
      <c r="J32" s="638" t="e">
        <f>G32/E32</f>
        <v>#DIV/0!</v>
      </c>
      <c r="K32" s="639"/>
      <c r="L32" s="639"/>
      <c r="M32" s="639"/>
      <c r="N32" s="639"/>
      <c r="O32" s="639"/>
      <c r="P32" s="783"/>
      <c r="Q32" s="639"/>
      <c r="R32" s="638" t="e">
        <f>O32/M32</f>
        <v>#DIV/0!</v>
      </c>
      <c r="S32" s="639"/>
      <c r="T32" s="639"/>
      <c r="U32" s="639"/>
      <c r="V32" s="639"/>
      <c r="W32" s="639">
        <f>G32-O32</f>
        <v>0</v>
      </c>
      <c r="X32" s="783"/>
      <c r="Y32" s="783"/>
      <c r="Z32" s="638" t="e">
        <f>W32/U32</f>
        <v>#DIV/0!</v>
      </c>
      <c r="AA32" s="647"/>
    </row>
    <row r="33" spans="1:27" s="648" customFormat="1" ht="27.75" customHeight="1" hidden="1">
      <c r="A33" s="655" t="s">
        <v>391</v>
      </c>
      <c r="B33" s="656" t="s">
        <v>207</v>
      </c>
      <c r="C33" s="639"/>
      <c r="D33" s="639"/>
      <c r="E33" s="639"/>
      <c r="F33" s="639"/>
      <c r="G33" s="639"/>
      <c r="H33" s="639"/>
      <c r="I33" s="639"/>
      <c r="J33" s="638">
        <v>0</v>
      </c>
      <c r="K33" s="639"/>
      <c r="L33" s="639"/>
      <c r="M33" s="639"/>
      <c r="N33" s="639"/>
      <c r="O33" s="639"/>
      <c r="P33" s="783"/>
      <c r="Q33" s="639"/>
      <c r="R33" s="638">
        <v>0</v>
      </c>
      <c r="S33" s="639"/>
      <c r="T33" s="639"/>
      <c r="U33" s="639"/>
      <c r="V33" s="639"/>
      <c r="W33" s="639">
        <f>G33-O33</f>
        <v>0</v>
      </c>
      <c r="X33" s="783"/>
      <c r="Y33" s="783"/>
      <c r="Z33" s="638">
        <v>0</v>
      </c>
      <c r="AA33" s="647"/>
    </row>
    <row r="34" spans="1:27" ht="33" customHeight="1" hidden="1" thickBot="1">
      <c r="A34" s="657" t="s">
        <v>392</v>
      </c>
      <c r="B34" s="658" t="s">
        <v>207</v>
      </c>
      <c r="C34" s="659"/>
      <c r="D34" s="659"/>
      <c r="E34" s="659"/>
      <c r="F34" s="659"/>
      <c r="G34" s="659"/>
      <c r="H34" s="659"/>
      <c r="I34" s="659"/>
      <c r="J34" s="638">
        <v>0</v>
      </c>
      <c r="K34" s="659"/>
      <c r="L34" s="659"/>
      <c r="M34" s="659"/>
      <c r="N34" s="659"/>
      <c r="O34" s="659"/>
      <c r="P34" s="784"/>
      <c r="Q34" s="659"/>
      <c r="R34" s="638">
        <v>0</v>
      </c>
      <c r="S34" s="659"/>
      <c r="T34" s="659"/>
      <c r="U34" s="659"/>
      <c r="V34" s="659"/>
      <c r="W34" s="659">
        <f>G34-O34</f>
        <v>0</v>
      </c>
      <c r="X34" s="784"/>
      <c r="Y34" s="784"/>
      <c r="Z34" s="638">
        <v>0</v>
      </c>
      <c r="AA34" s="628"/>
    </row>
    <row r="35" spans="1:27" ht="33" customHeight="1" hidden="1" thickBot="1" thickTop="1">
      <c r="A35" s="660"/>
      <c r="B35" s="661"/>
      <c r="C35" s="662"/>
      <c r="D35" s="662"/>
      <c r="E35" s="662"/>
      <c r="F35" s="662"/>
      <c r="G35" s="662"/>
      <c r="H35" s="662"/>
      <c r="I35" s="662"/>
      <c r="J35" s="638">
        <v>0</v>
      </c>
      <c r="K35" s="662"/>
      <c r="L35" s="662"/>
      <c r="M35" s="662"/>
      <c r="N35" s="662"/>
      <c r="O35" s="662"/>
      <c r="P35" s="785"/>
      <c r="Q35" s="662"/>
      <c r="R35" s="638">
        <v>0</v>
      </c>
      <c r="S35" s="662"/>
      <c r="T35" s="662"/>
      <c r="U35" s="662"/>
      <c r="V35" s="662"/>
      <c r="W35" s="662">
        <f>G35-O35</f>
        <v>0</v>
      </c>
      <c r="X35" s="785"/>
      <c r="Y35" s="785"/>
      <c r="Z35" s="638">
        <v>0</v>
      </c>
      <c r="AA35" s="628"/>
    </row>
    <row r="36" spans="1:27" ht="33" customHeight="1" thickBot="1" thickTop="1">
      <c r="A36" s="640" t="s">
        <v>21</v>
      </c>
      <c r="B36" s="641"/>
      <c r="C36" s="642">
        <f aca="true" t="shared" si="4" ref="C36:H36">SUM(C28:C34)</f>
        <v>0</v>
      </c>
      <c r="D36" s="642">
        <f t="shared" si="4"/>
        <v>0</v>
      </c>
      <c r="E36" s="642">
        <f t="shared" si="4"/>
        <v>0</v>
      </c>
      <c r="F36" s="642">
        <f t="shared" si="4"/>
        <v>0</v>
      </c>
      <c r="G36" s="642">
        <f t="shared" si="4"/>
        <v>211000</v>
      </c>
      <c r="H36" s="642">
        <f t="shared" si="4"/>
        <v>392000</v>
      </c>
      <c r="I36" s="642">
        <f>SUM(I28:I34)</f>
        <v>392000</v>
      </c>
      <c r="J36" s="643">
        <f>+I36/H36</f>
        <v>1</v>
      </c>
      <c r="K36" s="642">
        <f aca="true" t="shared" si="5" ref="K36:Q36">SUM(K28:K34)</f>
        <v>0</v>
      </c>
      <c r="L36" s="642">
        <f t="shared" si="5"/>
        <v>0</v>
      </c>
      <c r="M36" s="642">
        <f t="shared" si="5"/>
        <v>0</v>
      </c>
      <c r="N36" s="642">
        <f t="shared" si="5"/>
        <v>0</v>
      </c>
      <c r="O36" s="642">
        <f t="shared" si="5"/>
        <v>211000</v>
      </c>
      <c r="P36" s="642">
        <f t="shared" si="5"/>
        <v>392000</v>
      </c>
      <c r="Q36" s="642">
        <f t="shared" si="5"/>
        <v>392000</v>
      </c>
      <c r="R36" s="643">
        <f>+Q36/P36</f>
        <v>1</v>
      </c>
      <c r="S36" s="642">
        <f aca="true" t="shared" si="6" ref="S36:X36">SUM(S28:S34)</f>
        <v>0</v>
      </c>
      <c r="T36" s="642">
        <f t="shared" si="6"/>
        <v>0</v>
      </c>
      <c r="U36" s="642">
        <f t="shared" si="6"/>
        <v>0</v>
      </c>
      <c r="V36" s="642">
        <f t="shared" si="6"/>
        <v>0</v>
      </c>
      <c r="W36" s="642">
        <f t="shared" si="6"/>
        <v>0</v>
      </c>
      <c r="X36" s="642">
        <f t="shared" si="6"/>
        <v>0</v>
      </c>
      <c r="Y36" s="642">
        <v>0</v>
      </c>
      <c r="Z36" s="643"/>
      <c r="AA36" s="628"/>
    </row>
    <row r="39" ht="12.75">
      <c r="L39" s="663"/>
    </row>
    <row r="40" ht="12.75">
      <c r="L40" s="663"/>
    </row>
    <row r="41" ht="12.75">
      <c r="L41" s="663"/>
    </row>
    <row r="42" ht="12.75">
      <c r="L42" s="663"/>
    </row>
  </sheetData>
  <sheetProtection/>
  <mergeCells count="15">
    <mergeCell ref="A23:S23"/>
    <mergeCell ref="A24:A26"/>
    <mergeCell ref="B24:B26"/>
    <mergeCell ref="C24:J26"/>
    <mergeCell ref="K24:R26"/>
    <mergeCell ref="S24:Z26"/>
    <mergeCell ref="K1:W1"/>
    <mergeCell ref="A2:S2"/>
    <mergeCell ref="A3:S3"/>
    <mergeCell ref="A4:S4"/>
    <mergeCell ref="A6:A8"/>
    <mergeCell ref="B6:B8"/>
    <mergeCell ref="C6:J8"/>
    <mergeCell ref="K6:R8"/>
    <mergeCell ref="S6:Z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zoomScale="70" zoomScaleNormal="70" workbookViewId="0" topLeftCell="A55">
      <selection activeCell="H118" sqref="H118"/>
    </sheetView>
  </sheetViews>
  <sheetFormatPr defaultColWidth="9.140625" defaultRowHeight="12.75"/>
  <cols>
    <col min="1" max="1" width="53.00390625" style="305" customWidth="1"/>
    <col min="2" max="2" width="17.140625" style="16" bestFit="1" customWidth="1"/>
    <col min="3" max="3" width="17.140625" style="16" hidden="1" customWidth="1"/>
    <col min="4" max="5" width="16.421875" style="16" hidden="1" customWidth="1"/>
    <col min="6" max="6" width="15.7109375" style="16" hidden="1" customWidth="1"/>
    <col min="7" max="9" width="16.00390625" style="16" customWidth="1"/>
    <col min="10" max="10" width="17.140625" style="16" customWidth="1"/>
    <col min="11" max="11" width="15.57421875" style="16" hidden="1" customWidth="1"/>
    <col min="12" max="12" width="15.7109375" style="16" hidden="1" customWidth="1"/>
    <col min="13" max="13" width="15.00390625" style="16" hidden="1" customWidth="1"/>
    <col min="14" max="14" width="17.421875" style="16" hidden="1" customWidth="1"/>
    <col min="15" max="15" width="17.28125" style="16" customWidth="1"/>
    <col min="16" max="16" width="14.57421875" style="16" customWidth="1"/>
    <col min="17" max="17" width="13.421875" style="16" customWidth="1"/>
    <col min="18" max="18" width="16.7109375" style="16" customWidth="1"/>
    <col min="19" max="19" width="8.421875" style="16" hidden="1" customWidth="1"/>
    <col min="20" max="20" width="9.28125" style="16" hidden="1" customWidth="1"/>
    <col min="21" max="21" width="11.7109375" style="16" hidden="1" customWidth="1"/>
    <col min="22" max="22" width="11.57421875" style="16" customWidth="1"/>
    <col min="23" max="23" width="17.57421875" style="16" customWidth="1"/>
    <col min="24" max="24" width="13.8515625" style="16" hidden="1" customWidth="1"/>
    <col min="25" max="25" width="14.8515625" style="16" hidden="1" customWidth="1"/>
    <col min="26" max="26" width="14.421875" style="16" hidden="1" customWidth="1"/>
    <col min="27" max="27" width="14.7109375" style="16" hidden="1" customWidth="1"/>
    <col min="28" max="29" width="14.421875" style="16" customWidth="1"/>
    <col min="30" max="30" width="14.00390625" style="16" customWidth="1"/>
    <col min="31" max="31" width="15.28125" style="16" customWidth="1"/>
    <col min="32" max="16384" width="9.140625" style="16" customWidth="1"/>
  </cols>
  <sheetData>
    <row r="1" spans="18:27" ht="12.75" customHeight="1">
      <c r="R1" s="1608" t="s">
        <v>634</v>
      </c>
      <c r="S1" s="1608"/>
      <c r="T1" s="1608"/>
      <c r="U1" s="1608"/>
      <c r="V1" s="1608"/>
      <c r="W1" s="1608"/>
      <c r="X1" s="1608"/>
      <c r="Y1" s="1608"/>
      <c r="Z1" s="1608"/>
      <c r="AA1" s="1608"/>
    </row>
    <row r="2" spans="1:23" ht="18">
      <c r="A2" s="1591" t="s">
        <v>490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1591"/>
      <c r="T2" s="1591"/>
      <c r="U2" s="1591"/>
      <c r="V2" s="1591"/>
      <c r="W2" s="1591"/>
    </row>
    <row r="3" spans="1:23" ht="15.75">
      <c r="A3" s="1592" t="s">
        <v>506</v>
      </c>
      <c r="B3" s="1592"/>
      <c r="C3" s="1592"/>
      <c r="D3" s="1592"/>
      <c r="E3" s="1592"/>
      <c r="F3" s="1592"/>
      <c r="G3" s="1592"/>
      <c r="H3" s="1592"/>
      <c r="I3" s="1592"/>
      <c r="J3" s="1592"/>
      <c r="K3" s="1592"/>
      <c r="L3" s="1592"/>
      <c r="M3" s="1592"/>
      <c r="N3" s="1592"/>
      <c r="O3" s="1592"/>
      <c r="P3" s="1592"/>
      <c r="Q3" s="1592"/>
      <c r="R3" s="1592"/>
      <c r="S3" s="1592"/>
      <c r="T3" s="1592"/>
      <c r="U3" s="1592"/>
      <c r="V3" s="1592"/>
      <c r="W3" s="1592"/>
    </row>
    <row r="4" spans="1:23" ht="14.25">
      <c r="A4" s="1593" t="s">
        <v>194</v>
      </c>
      <c r="B4" s="1593"/>
      <c r="C4" s="1593"/>
      <c r="D4" s="1593"/>
      <c r="E4" s="1593"/>
      <c r="F4" s="1593"/>
      <c r="G4" s="1593"/>
      <c r="H4" s="1593"/>
      <c r="I4" s="1593"/>
      <c r="J4" s="1593"/>
      <c r="K4" s="1593"/>
      <c r="L4" s="1593"/>
      <c r="M4" s="1593"/>
      <c r="N4" s="1593"/>
      <c r="O4" s="1593"/>
      <c r="P4" s="1593"/>
      <c r="Q4" s="1593"/>
      <c r="R4" s="1593"/>
      <c r="S4" s="1593"/>
      <c r="T4" s="1593"/>
      <c r="U4" s="1593"/>
      <c r="V4" s="1593"/>
      <c r="W4" s="1593"/>
    </row>
    <row r="5" spans="1:23" ht="14.25">
      <c r="A5" s="848"/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72">
        <f>SUM(P11,P21)</f>
        <v>4976000</v>
      </c>
      <c r="Q5" s="848"/>
      <c r="R5" s="848"/>
      <c r="S5" s="848"/>
      <c r="T5" s="848"/>
      <c r="U5" s="848"/>
      <c r="V5" s="848"/>
      <c r="W5" s="848"/>
    </row>
    <row r="6" spans="1:23" ht="18.75" thickBot="1">
      <c r="A6" s="852" t="s">
        <v>491</v>
      </c>
      <c r="W6" s="12" t="s">
        <v>449</v>
      </c>
    </row>
    <row r="7" spans="1:31" ht="24.75" customHeight="1">
      <c r="A7" s="1594" t="s">
        <v>22</v>
      </c>
      <c r="B7" s="1596" t="s">
        <v>23</v>
      </c>
      <c r="C7" s="1597"/>
      <c r="D7" s="1597"/>
      <c r="E7" s="1597"/>
      <c r="F7" s="1597"/>
      <c r="G7" s="1597"/>
      <c r="H7" s="1597"/>
      <c r="I7" s="1597"/>
      <c r="J7" s="1597"/>
      <c r="K7" s="1597"/>
      <c r="L7" s="1597"/>
      <c r="M7" s="1597"/>
      <c r="N7" s="1597"/>
      <c r="O7" s="1597"/>
      <c r="P7" s="1597"/>
      <c r="Q7" s="1597"/>
      <c r="R7" s="1598" t="s">
        <v>24</v>
      </c>
      <c r="S7" s="1599"/>
      <c r="T7" s="1599"/>
      <c r="U7" s="1599"/>
      <c r="V7" s="1599"/>
      <c r="W7" s="1599"/>
      <c r="X7" s="1599"/>
      <c r="Y7" s="1599"/>
      <c r="Z7" s="1599"/>
      <c r="AA7" s="1599"/>
      <c r="AB7" s="1596"/>
      <c r="AC7" s="1596"/>
      <c r="AD7" s="1600"/>
      <c r="AE7" s="522"/>
    </row>
    <row r="8" spans="1:31" ht="24.75" customHeight="1">
      <c r="A8" s="1595"/>
      <c r="B8" s="1601" t="s">
        <v>63</v>
      </c>
      <c r="C8" s="1602"/>
      <c r="D8" s="1602"/>
      <c r="E8" s="1602"/>
      <c r="F8" s="1602"/>
      <c r="G8" s="1602"/>
      <c r="H8" s="1602"/>
      <c r="I8" s="1603"/>
      <c r="J8" s="1601" t="s">
        <v>64</v>
      </c>
      <c r="K8" s="1602"/>
      <c r="L8" s="1602"/>
      <c r="M8" s="1602"/>
      <c r="N8" s="1602"/>
      <c r="O8" s="1602"/>
      <c r="P8" s="1602"/>
      <c r="Q8" s="1602"/>
      <c r="R8" s="1604" t="s">
        <v>63</v>
      </c>
      <c r="S8" s="1605"/>
      <c r="T8" s="1605"/>
      <c r="U8" s="1605"/>
      <c r="V8" s="1605"/>
      <c r="W8" s="1605" t="s">
        <v>64</v>
      </c>
      <c r="X8" s="1605"/>
      <c r="Y8" s="1605"/>
      <c r="Z8" s="1605"/>
      <c r="AA8" s="1605"/>
      <c r="AB8" s="1601"/>
      <c r="AC8" s="1601"/>
      <c r="AD8" s="1607"/>
      <c r="AE8" s="522"/>
    </row>
    <row r="9" spans="1:31" ht="42" customHeight="1">
      <c r="A9" s="299"/>
      <c r="B9" s="300" t="s">
        <v>229</v>
      </c>
      <c r="C9" s="300" t="s">
        <v>227</v>
      </c>
      <c r="D9" s="524" t="s">
        <v>232</v>
      </c>
      <c r="E9" s="300" t="s">
        <v>234</v>
      </c>
      <c r="F9" s="300" t="s">
        <v>439</v>
      </c>
      <c r="G9" s="300" t="s">
        <v>443</v>
      </c>
      <c r="H9" s="300" t="s">
        <v>236</v>
      </c>
      <c r="I9" s="300" t="s">
        <v>237</v>
      </c>
      <c r="J9" s="300" t="s">
        <v>229</v>
      </c>
      <c r="K9" s="763" t="s">
        <v>227</v>
      </c>
      <c r="L9" s="768" t="s">
        <v>232</v>
      </c>
      <c r="M9" s="769" t="s">
        <v>234</v>
      </c>
      <c r="N9" s="300" t="s">
        <v>439</v>
      </c>
      <c r="O9" s="300" t="s">
        <v>443</v>
      </c>
      <c r="P9" s="787" t="s">
        <v>401</v>
      </c>
      <c r="Q9" s="769" t="s">
        <v>237</v>
      </c>
      <c r="R9" s="764" t="s">
        <v>229</v>
      </c>
      <c r="S9" s="300" t="s">
        <v>227</v>
      </c>
      <c r="T9" s="524" t="s">
        <v>232</v>
      </c>
      <c r="U9" s="300" t="s">
        <v>234</v>
      </c>
      <c r="V9" s="300" t="s">
        <v>443</v>
      </c>
      <c r="W9" s="300" t="s">
        <v>229</v>
      </c>
      <c r="X9" s="300" t="s">
        <v>227</v>
      </c>
      <c r="Y9" s="524" t="s">
        <v>232</v>
      </c>
      <c r="Z9" s="300" t="s">
        <v>234</v>
      </c>
      <c r="AA9" s="300" t="s">
        <v>439</v>
      </c>
      <c r="AB9" s="300" t="s">
        <v>443</v>
      </c>
      <c r="AC9" s="787" t="s">
        <v>401</v>
      </c>
      <c r="AD9" s="769" t="s">
        <v>237</v>
      </c>
      <c r="AE9" s="522"/>
    </row>
    <row r="10" spans="1:31" ht="18">
      <c r="A10" s="4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371"/>
      <c r="Q10" s="712"/>
      <c r="R10" s="373"/>
      <c r="S10" s="48"/>
      <c r="T10" s="48"/>
      <c r="U10" s="48"/>
      <c r="V10" s="48"/>
      <c r="W10" s="50"/>
      <c r="X10" s="50"/>
      <c r="Y10" s="50"/>
      <c r="Z10" s="50"/>
      <c r="AA10" s="50"/>
      <c r="AB10" s="372"/>
      <c r="AC10" s="372"/>
      <c r="AD10" s="68"/>
      <c r="AE10" s="522"/>
    </row>
    <row r="11" spans="1:31" ht="18">
      <c r="A11" s="43" t="s">
        <v>528</v>
      </c>
      <c r="B11" s="47"/>
      <c r="C11" s="47"/>
      <c r="D11" s="47"/>
      <c r="E11" s="47"/>
      <c r="F11" s="47"/>
      <c r="G11" s="47"/>
      <c r="H11" s="47"/>
      <c r="I11" s="47"/>
      <c r="J11" s="47">
        <v>4300000</v>
      </c>
      <c r="K11" s="47">
        <v>4300000</v>
      </c>
      <c r="L11" s="47">
        <v>4300000</v>
      </c>
      <c r="M11" s="47">
        <v>4300000</v>
      </c>
      <c r="N11" s="47">
        <v>4300000</v>
      </c>
      <c r="O11" s="47">
        <v>4300000</v>
      </c>
      <c r="P11" s="47">
        <v>4300000</v>
      </c>
      <c r="Q11" s="712">
        <f>+P11/O11</f>
        <v>1</v>
      </c>
      <c r="R11" s="373"/>
      <c r="S11" s="48"/>
      <c r="T11" s="48"/>
      <c r="U11" s="48"/>
      <c r="V11" s="48"/>
      <c r="W11" s="50"/>
      <c r="X11" s="50"/>
      <c r="Y11" s="50"/>
      <c r="Z11" s="50"/>
      <c r="AA11" s="50"/>
      <c r="AB11" s="50"/>
      <c r="AC11" s="372"/>
      <c r="AD11" s="68"/>
      <c r="AE11" s="522"/>
    </row>
    <row r="12" spans="1:31" ht="18">
      <c r="A12" s="43" t="s">
        <v>529</v>
      </c>
      <c r="B12" s="47"/>
      <c r="C12" s="47"/>
      <c r="D12" s="47"/>
      <c r="E12" s="47"/>
      <c r="F12" s="47"/>
      <c r="G12" s="47"/>
      <c r="H12" s="47"/>
      <c r="I12" s="47"/>
      <c r="J12" s="47">
        <v>1000000</v>
      </c>
      <c r="K12" s="47">
        <v>1000000</v>
      </c>
      <c r="L12" s="47">
        <v>1000000</v>
      </c>
      <c r="M12" s="47">
        <v>1000000</v>
      </c>
      <c r="N12" s="47">
        <v>1000000</v>
      </c>
      <c r="O12" s="47">
        <v>1000000</v>
      </c>
      <c r="P12" s="47">
        <v>1000000</v>
      </c>
      <c r="Q12" s="712">
        <f aca="true" t="shared" si="0" ref="Q12:Q58">+P12/O12</f>
        <v>1</v>
      </c>
      <c r="R12" s="373"/>
      <c r="S12" s="48"/>
      <c r="T12" s="48"/>
      <c r="U12" s="48"/>
      <c r="V12" s="48"/>
      <c r="W12" s="50"/>
      <c r="X12" s="50"/>
      <c r="Y12" s="50"/>
      <c r="Z12" s="50"/>
      <c r="AA12" s="50"/>
      <c r="AB12" s="50"/>
      <c r="AC12" s="372"/>
      <c r="AD12" s="68"/>
      <c r="AE12" s="522"/>
    </row>
    <row r="13" spans="1:31" ht="18">
      <c r="A13" s="43" t="s">
        <v>530</v>
      </c>
      <c r="B13" s="47"/>
      <c r="C13" s="47"/>
      <c r="D13" s="47"/>
      <c r="E13" s="47"/>
      <c r="F13" s="47"/>
      <c r="G13" s="47"/>
      <c r="H13" s="47"/>
      <c r="I13" s="47"/>
      <c r="J13" s="47">
        <v>1200000</v>
      </c>
      <c r="K13" s="47">
        <v>1200000</v>
      </c>
      <c r="L13" s="47">
        <v>1200000</v>
      </c>
      <c r="M13" s="47">
        <v>1200000</v>
      </c>
      <c r="N13" s="47">
        <v>1200000</v>
      </c>
      <c r="O13" s="47">
        <v>1200000</v>
      </c>
      <c r="P13" s="47">
        <v>1200000</v>
      </c>
      <c r="Q13" s="712">
        <f t="shared" si="0"/>
        <v>1</v>
      </c>
      <c r="R13" s="373"/>
      <c r="S13" s="48"/>
      <c r="T13" s="48"/>
      <c r="U13" s="48"/>
      <c r="V13" s="48"/>
      <c r="W13" s="50"/>
      <c r="X13" s="50"/>
      <c r="Y13" s="50"/>
      <c r="Z13" s="50"/>
      <c r="AA13" s="50"/>
      <c r="AB13" s="50"/>
      <c r="AC13" s="372"/>
      <c r="AD13" s="68"/>
      <c r="AE13" s="522"/>
    </row>
    <row r="14" spans="1:31" ht="30.75">
      <c r="A14" s="43" t="s">
        <v>550</v>
      </c>
      <c r="B14" s="47"/>
      <c r="C14" s="47"/>
      <c r="D14" s="47"/>
      <c r="E14" s="47"/>
      <c r="F14" s="47"/>
      <c r="G14" s="47"/>
      <c r="H14" s="47"/>
      <c r="I14" s="47"/>
      <c r="J14" s="47"/>
      <c r="K14" s="47">
        <v>190500</v>
      </c>
      <c r="L14" s="47">
        <v>190500</v>
      </c>
      <c r="M14" s="47">
        <v>190500</v>
      </c>
      <c r="N14" s="47">
        <v>190500</v>
      </c>
      <c r="O14" s="47">
        <v>190500</v>
      </c>
      <c r="P14" s="47">
        <v>0</v>
      </c>
      <c r="Q14" s="712">
        <f t="shared" si="0"/>
        <v>0</v>
      </c>
      <c r="R14" s="373"/>
      <c r="S14" s="48"/>
      <c r="T14" s="48"/>
      <c r="U14" s="48"/>
      <c r="V14" s="48"/>
      <c r="W14" s="50"/>
      <c r="X14" s="50"/>
      <c r="Y14" s="50"/>
      <c r="Z14" s="50"/>
      <c r="AA14" s="50"/>
      <c r="AB14" s="50"/>
      <c r="AC14" s="372"/>
      <c r="AD14" s="68"/>
      <c r="AE14" s="522"/>
    </row>
    <row r="15" spans="1:31" ht="18">
      <c r="A15" s="44" t="s">
        <v>216</v>
      </c>
      <c r="B15" s="47"/>
      <c r="C15" s="47"/>
      <c r="D15" s="47"/>
      <c r="E15" s="47"/>
      <c r="F15" s="47"/>
      <c r="G15" s="47"/>
      <c r="H15" s="47"/>
      <c r="I15" s="47"/>
      <c r="J15" s="47">
        <v>90000</v>
      </c>
      <c r="K15" s="47">
        <v>90000</v>
      </c>
      <c r="L15" s="47">
        <v>90000</v>
      </c>
      <c r="M15" s="47">
        <v>90000</v>
      </c>
      <c r="N15" s="47">
        <v>90000</v>
      </c>
      <c r="O15" s="47">
        <v>140000</v>
      </c>
      <c r="P15" s="47">
        <v>130000</v>
      </c>
      <c r="Q15" s="712">
        <f t="shared" si="0"/>
        <v>0.9285714285714286</v>
      </c>
      <c r="R15" s="373"/>
      <c r="S15" s="48"/>
      <c r="T15" s="48"/>
      <c r="U15" s="48"/>
      <c r="V15" s="48"/>
      <c r="W15" s="50"/>
      <c r="X15" s="50"/>
      <c r="Y15" s="50"/>
      <c r="Z15" s="50"/>
      <c r="AA15" s="50"/>
      <c r="AB15" s="50"/>
      <c r="AC15" s="372"/>
      <c r="AD15" s="68"/>
      <c r="AE15" s="522"/>
    </row>
    <row r="16" spans="1:31" ht="18">
      <c r="A16" s="44" t="s">
        <v>217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712"/>
      <c r="R16" s="373"/>
      <c r="S16" s="48"/>
      <c r="T16" s="48"/>
      <c r="U16" s="48"/>
      <c r="V16" s="48"/>
      <c r="W16" s="50"/>
      <c r="X16" s="50"/>
      <c r="Y16" s="50"/>
      <c r="Z16" s="50"/>
      <c r="AA16" s="50"/>
      <c r="AB16" s="50"/>
      <c r="AC16" s="372"/>
      <c r="AD16" s="68"/>
      <c r="AE16" s="522"/>
    </row>
    <row r="17" spans="1:31" ht="18">
      <c r="A17" s="44" t="s">
        <v>218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712"/>
      <c r="R17" s="373"/>
      <c r="S17" s="48"/>
      <c r="T17" s="48"/>
      <c r="U17" s="48"/>
      <c r="V17" s="48"/>
      <c r="W17" s="50">
        <v>3000000</v>
      </c>
      <c r="X17" s="50">
        <v>3000000</v>
      </c>
      <c r="Y17" s="50">
        <v>3000000</v>
      </c>
      <c r="Z17" s="50">
        <v>3000000</v>
      </c>
      <c r="AA17" s="50">
        <v>3000000</v>
      </c>
      <c r="AB17" s="50">
        <v>3000000</v>
      </c>
      <c r="AC17" s="372">
        <v>2950000</v>
      </c>
      <c r="AD17" s="712">
        <f>+AC17/AB17</f>
        <v>0.9833333333333333</v>
      </c>
      <c r="AE17" s="522"/>
    </row>
    <row r="18" spans="1:31" ht="18">
      <c r="A18" s="44" t="s">
        <v>222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712"/>
      <c r="R18" s="373"/>
      <c r="S18" s="48"/>
      <c r="T18" s="48"/>
      <c r="U18" s="48"/>
      <c r="V18" s="48"/>
      <c r="W18" s="50"/>
      <c r="X18" s="50"/>
      <c r="Y18" s="50"/>
      <c r="Z18" s="50"/>
      <c r="AA18" s="50"/>
      <c r="AB18" s="50"/>
      <c r="AC18" s="372"/>
      <c r="AD18" s="712"/>
      <c r="AE18" s="522"/>
    </row>
    <row r="19" spans="1:31" ht="33" customHeight="1">
      <c r="A19" s="44" t="s">
        <v>501</v>
      </c>
      <c r="B19" s="47"/>
      <c r="C19" s="47"/>
      <c r="D19" s="47"/>
      <c r="E19" s="47"/>
      <c r="F19" s="47"/>
      <c r="G19" s="47"/>
      <c r="H19" s="47"/>
      <c r="I19" s="47"/>
      <c r="J19" s="47">
        <f>4100530+240495</f>
        <v>4341025</v>
      </c>
      <c r="K19" s="47">
        <f>4100530+240495</f>
        <v>4341025</v>
      </c>
      <c r="L19" s="47">
        <f>4100530+240495-56000-198000</f>
        <v>4087025</v>
      </c>
      <c r="M19" s="47">
        <f>4100530+240495-56000-198000</f>
        <v>4087025</v>
      </c>
      <c r="N19" s="47">
        <f>4100530+240495-56000-198000</f>
        <v>4087025</v>
      </c>
      <c r="O19" s="47">
        <f>SUM(O20:O41)</f>
        <v>3809505</v>
      </c>
      <c r="P19" s="47">
        <f>SUM(P20:P41)</f>
        <v>1604480</v>
      </c>
      <c r="Q19" s="712">
        <f t="shared" si="0"/>
        <v>0.42117807956676784</v>
      </c>
      <c r="R19" s="374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372"/>
      <c r="AD19" s="712"/>
      <c r="AE19" s="770"/>
    </row>
    <row r="20" spans="1:31" ht="17.25" customHeight="1">
      <c r="A20" s="591" t="s">
        <v>356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712"/>
      <c r="R20" s="374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372"/>
      <c r="AD20" s="68"/>
      <c r="AE20" s="522"/>
    </row>
    <row r="21" spans="1:31" ht="17.25" customHeight="1">
      <c r="A21" s="591" t="s">
        <v>618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>
        <f>60000+616000</f>
        <v>676000</v>
      </c>
      <c r="P21" s="47">
        <f>60000+616000</f>
        <v>676000</v>
      </c>
      <c r="Q21" s="712">
        <f t="shared" si="0"/>
        <v>1</v>
      </c>
      <c r="R21" s="374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372"/>
      <c r="AD21" s="68"/>
      <c r="AE21" s="770"/>
    </row>
    <row r="22" spans="1:31" ht="17.25" customHeight="1">
      <c r="A22" s="591" t="s">
        <v>357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712"/>
      <c r="R22" s="374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72"/>
      <c r="AD22" s="68"/>
      <c r="AE22" s="522"/>
    </row>
    <row r="23" spans="1:31" ht="17.25" customHeight="1">
      <c r="A23" s="591" t="s">
        <v>358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712"/>
      <c r="R23" s="374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72"/>
      <c r="AD23" s="68"/>
      <c r="AE23" s="522"/>
    </row>
    <row r="24" spans="1:31" ht="17.25" customHeight="1">
      <c r="A24" s="591" t="s">
        <v>360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>
        <v>212000</v>
      </c>
      <c r="P24" s="47">
        <v>212000</v>
      </c>
      <c r="Q24" s="712">
        <f t="shared" si="0"/>
        <v>1</v>
      </c>
      <c r="R24" s="374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72"/>
      <c r="AD24" s="68"/>
      <c r="AE24" s="522"/>
    </row>
    <row r="25" spans="1:31" ht="17.25" customHeight="1">
      <c r="A25" s="591" t="s">
        <v>435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>
        <v>60000</v>
      </c>
      <c r="P25" s="47">
        <v>60000</v>
      </c>
      <c r="Q25" s="712">
        <f t="shared" si="0"/>
        <v>1</v>
      </c>
      <c r="R25" s="374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372"/>
      <c r="AD25" s="68"/>
      <c r="AE25" s="522"/>
    </row>
    <row r="26" spans="1:31" ht="17.25" customHeight="1">
      <c r="A26" s="591" t="s">
        <v>364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>
        <v>80000</v>
      </c>
      <c r="P26" s="47">
        <v>80000</v>
      </c>
      <c r="Q26" s="712">
        <f t="shared" si="0"/>
        <v>1</v>
      </c>
      <c r="R26" s="374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72"/>
      <c r="AD26" s="68"/>
      <c r="AE26" s="522"/>
    </row>
    <row r="27" spans="1:31" ht="17.25" customHeight="1">
      <c r="A27" s="591" t="s">
        <v>500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712"/>
      <c r="R27" s="374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72"/>
      <c r="AD27" s="68"/>
      <c r="AE27" s="522"/>
    </row>
    <row r="28" spans="1:31" ht="17.25" customHeight="1">
      <c r="A28" s="591" t="s">
        <v>361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130000</v>
      </c>
      <c r="P28" s="47">
        <v>130000</v>
      </c>
      <c r="Q28" s="712">
        <f t="shared" si="0"/>
        <v>1</v>
      </c>
      <c r="R28" s="374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72"/>
      <c r="AD28" s="68"/>
      <c r="AE28" s="522"/>
    </row>
    <row r="29" spans="1:31" ht="17.25" customHeight="1">
      <c r="A29" s="591" t="s">
        <v>433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712"/>
      <c r="R29" s="374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72"/>
      <c r="AD29" s="68"/>
      <c r="AE29" s="522"/>
    </row>
    <row r="30" spans="1:31" ht="17.25" customHeight="1">
      <c r="A30" s="591" t="s">
        <v>613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>
        <v>40000</v>
      </c>
      <c r="P30" s="47">
        <v>40000</v>
      </c>
      <c r="Q30" s="712">
        <f t="shared" si="0"/>
        <v>1</v>
      </c>
      <c r="R30" s="374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372"/>
      <c r="AD30" s="68"/>
      <c r="AE30" s="522"/>
    </row>
    <row r="31" spans="1:31" ht="17.25" customHeight="1">
      <c r="A31" s="591" t="s">
        <v>614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>
        <v>40000</v>
      </c>
      <c r="P31" s="47">
        <v>40000</v>
      </c>
      <c r="Q31" s="712">
        <f t="shared" si="0"/>
        <v>1</v>
      </c>
      <c r="R31" s="374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72"/>
      <c r="AD31" s="68"/>
      <c r="AE31" s="522"/>
    </row>
    <row r="32" spans="1:31" ht="17.25" customHeight="1">
      <c r="A32" s="591" t="s">
        <v>362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712"/>
      <c r="R32" s="374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372"/>
      <c r="AD32" s="68"/>
      <c r="AE32" s="522"/>
    </row>
    <row r="33" spans="1:31" ht="17.25" customHeight="1">
      <c r="A33" s="591" t="s">
        <v>615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>
        <f>3120*4</f>
        <v>12480</v>
      </c>
      <c r="P33" s="47">
        <f>3120*4</f>
        <v>12480</v>
      </c>
      <c r="Q33" s="712">
        <f t="shared" si="0"/>
        <v>1</v>
      </c>
      <c r="R33" s="374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72"/>
      <c r="AD33" s="68"/>
      <c r="AE33" s="522"/>
    </row>
    <row r="34" spans="1:31" ht="17.25" customHeight="1">
      <c r="A34" s="591" t="s">
        <v>499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712"/>
      <c r="R34" s="374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72"/>
      <c r="AD34" s="68"/>
      <c r="AE34" s="522"/>
    </row>
    <row r="35" spans="1:31" ht="17.25" customHeight="1">
      <c r="A35" s="591" t="s">
        <v>617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20000</v>
      </c>
      <c r="P35" s="47">
        <v>20000</v>
      </c>
      <c r="Q35" s="712">
        <f t="shared" si="0"/>
        <v>1</v>
      </c>
      <c r="R35" s="374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72"/>
      <c r="AD35" s="68"/>
      <c r="AE35" s="522"/>
    </row>
    <row r="36" spans="1:31" ht="17.25" customHeight="1">
      <c r="A36" s="591" t="s">
        <v>619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144000</v>
      </c>
      <c r="P36" s="47">
        <v>144000</v>
      </c>
      <c r="Q36" s="712">
        <f t="shared" si="0"/>
        <v>1</v>
      </c>
      <c r="R36" s="374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372"/>
      <c r="AD36" s="68"/>
      <c r="AE36" s="522"/>
    </row>
    <row r="37" spans="1:31" ht="17.25" customHeight="1" hidden="1">
      <c r="A37" s="59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12"/>
      <c r="R37" s="374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372"/>
      <c r="AD37" s="68"/>
      <c r="AE37" s="522"/>
    </row>
    <row r="38" spans="1:31" ht="17.25" customHeight="1" hidden="1">
      <c r="A38" s="59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712"/>
      <c r="R38" s="374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72"/>
      <c r="AD38" s="68"/>
      <c r="AE38" s="522"/>
    </row>
    <row r="39" spans="1:31" ht="17.25" customHeight="1" hidden="1">
      <c r="A39" s="59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712"/>
      <c r="R39" s="374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72"/>
      <c r="AD39" s="68"/>
      <c r="AE39" s="522"/>
    </row>
    <row r="40" spans="1:31" ht="17.25" customHeight="1">
      <c r="A40" s="591" t="s">
        <v>445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>
        <v>190000</v>
      </c>
      <c r="P40" s="47">
        <v>190000</v>
      </c>
      <c r="Q40" s="712">
        <f t="shared" si="0"/>
        <v>1</v>
      </c>
      <c r="R40" s="374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72"/>
      <c r="AD40" s="68"/>
      <c r="AE40" s="522"/>
    </row>
    <row r="41" spans="1:31" ht="17.25" customHeight="1">
      <c r="A41" s="591" t="s">
        <v>434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>
        <f>11553645-9348620</f>
        <v>2205025</v>
      </c>
      <c r="P41" s="47"/>
      <c r="Q41" s="712">
        <f t="shared" si="0"/>
        <v>0</v>
      </c>
      <c r="R41" s="374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72"/>
      <c r="AD41" s="68"/>
      <c r="AE41" s="522"/>
    </row>
    <row r="42" spans="1:31" ht="17.25" customHeight="1">
      <c r="A42" s="44" t="s">
        <v>502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f>SUM(O43:O45)</f>
        <v>170000</v>
      </c>
      <c r="P42" s="47">
        <f>SUM(P43:P45)</f>
        <v>170000</v>
      </c>
      <c r="Q42" s="712">
        <f t="shared" si="0"/>
        <v>1</v>
      </c>
      <c r="R42" s="374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372"/>
      <c r="AD42" s="68"/>
      <c r="AE42" s="522"/>
    </row>
    <row r="43" spans="1:31" ht="17.25" customHeight="1">
      <c r="A43" s="591" t="s">
        <v>356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>
        <v>10000</v>
      </c>
      <c r="P43" s="47">
        <v>10000</v>
      </c>
      <c r="Q43" s="712">
        <f t="shared" si="0"/>
        <v>1</v>
      </c>
      <c r="R43" s="374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372"/>
      <c r="AD43" s="68"/>
      <c r="AE43" s="770"/>
    </row>
    <row r="44" spans="1:31" ht="17.25" customHeight="1">
      <c r="A44" s="591" t="s">
        <v>498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>
        <v>100000</v>
      </c>
      <c r="P44" s="47">
        <v>100000</v>
      </c>
      <c r="Q44" s="712">
        <f t="shared" si="0"/>
        <v>1</v>
      </c>
      <c r="R44" s="374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372"/>
      <c r="AD44" s="68"/>
      <c r="AE44" s="522"/>
    </row>
    <row r="45" spans="1:31" ht="17.25" customHeight="1">
      <c r="A45" s="591" t="s">
        <v>363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>
        <v>60000</v>
      </c>
      <c r="P45" s="47">
        <v>60000</v>
      </c>
      <c r="Q45" s="712">
        <f t="shared" si="0"/>
        <v>1</v>
      </c>
      <c r="R45" s="374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72"/>
      <c r="AD45" s="68"/>
      <c r="AE45" s="522"/>
    </row>
    <row r="46" spans="1:31" ht="17.25" customHeight="1">
      <c r="A46" s="591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712"/>
      <c r="R46" s="374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372"/>
      <c r="AD46" s="68"/>
      <c r="AE46" s="522"/>
    </row>
    <row r="47" spans="1:31" ht="17.25" customHeight="1">
      <c r="A47" s="591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712"/>
      <c r="R47" s="374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372"/>
      <c r="AD47" s="68"/>
      <c r="AE47" s="522"/>
    </row>
    <row r="48" spans="1:31" ht="17.25" customHeight="1">
      <c r="A48" s="44" t="s">
        <v>359</v>
      </c>
      <c r="B48" s="47"/>
      <c r="C48" s="47"/>
      <c r="D48" s="47"/>
      <c r="E48" s="47"/>
      <c r="F48" s="47"/>
      <c r="G48" s="47"/>
      <c r="H48" s="47"/>
      <c r="I48" s="47"/>
      <c r="J48" s="47">
        <v>200000</v>
      </c>
      <c r="K48" s="47">
        <v>200000</v>
      </c>
      <c r="L48" s="47">
        <v>200000</v>
      </c>
      <c r="M48" s="47">
        <v>200000</v>
      </c>
      <c r="N48" s="47">
        <v>200000</v>
      </c>
      <c r="O48" s="47">
        <v>200000</v>
      </c>
      <c r="P48" s="47">
        <v>0</v>
      </c>
      <c r="Q48" s="712">
        <f t="shared" si="0"/>
        <v>0</v>
      </c>
      <c r="R48" s="374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372"/>
      <c r="AD48" s="68"/>
      <c r="AE48" s="522"/>
    </row>
    <row r="49" spans="1:31" ht="17.25" customHeight="1">
      <c r="A49" s="44" t="s">
        <v>616</v>
      </c>
      <c r="B49" s="47"/>
      <c r="C49" s="47"/>
      <c r="D49" s="47"/>
      <c r="E49" s="47"/>
      <c r="F49" s="47"/>
      <c r="G49" s="47"/>
      <c r="H49" s="47"/>
      <c r="I49" s="47"/>
      <c r="J49" s="47">
        <v>300000</v>
      </c>
      <c r="K49" s="47">
        <v>300000</v>
      </c>
      <c r="L49" s="47">
        <v>300000</v>
      </c>
      <c r="M49" s="47">
        <v>300000</v>
      </c>
      <c r="N49" s="47">
        <v>300000</v>
      </c>
      <c r="O49" s="47">
        <v>300000</v>
      </c>
      <c r="P49" s="47">
        <v>300000</v>
      </c>
      <c r="Q49" s="712">
        <f t="shared" si="0"/>
        <v>1</v>
      </c>
      <c r="R49" s="374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372"/>
      <c r="AD49" s="68"/>
      <c r="AE49" s="522"/>
    </row>
    <row r="50" spans="1:31" ht="17.25" customHeight="1">
      <c r="A50" s="44" t="s">
        <v>546</v>
      </c>
      <c r="B50" s="47"/>
      <c r="C50" s="47"/>
      <c r="D50" s="47"/>
      <c r="E50" s="47"/>
      <c r="F50" s="47"/>
      <c r="G50" s="47"/>
      <c r="H50" s="47"/>
      <c r="I50" s="47"/>
      <c r="J50" s="47"/>
      <c r="K50" s="47">
        <v>600000</v>
      </c>
      <c r="L50" s="47">
        <v>600000</v>
      </c>
      <c r="M50" s="47">
        <v>600000</v>
      </c>
      <c r="N50" s="47"/>
      <c r="O50" s="47"/>
      <c r="P50" s="47"/>
      <c r="Q50" s="712"/>
      <c r="R50" s="374"/>
      <c r="S50" s="50"/>
      <c r="T50" s="50"/>
      <c r="U50" s="50"/>
      <c r="V50" s="50"/>
      <c r="W50" s="50"/>
      <c r="X50" s="50"/>
      <c r="Y50" s="50"/>
      <c r="Z50" s="50"/>
      <c r="AA50" s="47">
        <v>600000</v>
      </c>
      <c r="AB50" s="47">
        <v>600000</v>
      </c>
      <c r="AC50" s="47">
        <v>600000</v>
      </c>
      <c r="AD50" s="712">
        <f aca="true" t="shared" si="1" ref="AD50:AD56">+AC50/AB50</f>
        <v>1</v>
      </c>
      <c r="AE50" s="522"/>
    </row>
    <row r="51" spans="1:31" ht="17.25" customHeight="1">
      <c r="A51" s="44" t="s">
        <v>547</v>
      </c>
      <c r="B51" s="47"/>
      <c r="C51" s="47"/>
      <c r="D51" s="47"/>
      <c r="E51" s="47"/>
      <c r="F51" s="47"/>
      <c r="G51" s="47"/>
      <c r="H51" s="47"/>
      <c r="I51" s="47"/>
      <c r="J51" s="47"/>
      <c r="K51" s="47">
        <v>600000</v>
      </c>
      <c r="L51" s="47">
        <v>600000</v>
      </c>
      <c r="M51" s="47">
        <v>600000</v>
      </c>
      <c r="N51" s="47"/>
      <c r="O51" s="47"/>
      <c r="P51" s="47"/>
      <c r="Q51" s="712"/>
      <c r="R51" s="374"/>
      <c r="S51" s="50"/>
      <c r="T51" s="50"/>
      <c r="U51" s="50"/>
      <c r="V51" s="50"/>
      <c r="W51" s="50"/>
      <c r="X51" s="50"/>
      <c r="Y51" s="50"/>
      <c r="Z51" s="50"/>
      <c r="AA51" s="47">
        <v>600000</v>
      </c>
      <c r="AB51" s="47">
        <v>600000</v>
      </c>
      <c r="AC51" s="47">
        <v>600000</v>
      </c>
      <c r="AD51" s="712">
        <f t="shared" si="1"/>
        <v>1</v>
      </c>
      <c r="AE51" s="522"/>
    </row>
    <row r="52" spans="1:31" ht="17.25" customHeight="1">
      <c r="A52" s="44" t="s">
        <v>548</v>
      </c>
      <c r="B52" s="47"/>
      <c r="C52" s="47"/>
      <c r="D52" s="47"/>
      <c r="E52" s="47"/>
      <c r="F52" s="47"/>
      <c r="G52" s="47"/>
      <c r="H52" s="47"/>
      <c r="I52" s="47"/>
      <c r="J52" s="47"/>
      <c r="K52" s="47">
        <v>600000</v>
      </c>
      <c r="L52" s="47">
        <v>600000</v>
      </c>
      <c r="M52" s="47">
        <v>600000</v>
      </c>
      <c r="N52" s="47"/>
      <c r="O52" s="47"/>
      <c r="P52" s="47"/>
      <c r="Q52" s="712"/>
      <c r="R52" s="374"/>
      <c r="S52" s="50"/>
      <c r="T52" s="50"/>
      <c r="U52" s="50"/>
      <c r="V52" s="50"/>
      <c r="W52" s="50"/>
      <c r="X52" s="50"/>
      <c r="Y52" s="50"/>
      <c r="Z52" s="50"/>
      <c r="AA52" s="47">
        <v>600000</v>
      </c>
      <c r="AB52" s="47">
        <v>600000</v>
      </c>
      <c r="AC52" s="47">
        <v>600000</v>
      </c>
      <c r="AD52" s="712">
        <f t="shared" si="1"/>
        <v>1</v>
      </c>
      <c r="AE52" s="522"/>
    </row>
    <row r="53" spans="1:31" ht="17.25" customHeight="1">
      <c r="A53" s="44" t="s">
        <v>555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>
        <v>50000</v>
      </c>
      <c r="M53" s="47">
        <v>50000</v>
      </c>
      <c r="N53" s="47">
        <v>50000</v>
      </c>
      <c r="O53" s="47">
        <v>50000</v>
      </c>
      <c r="P53" s="47">
        <v>50000</v>
      </c>
      <c r="Q53" s="712">
        <f t="shared" si="0"/>
        <v>1</v>
      </c>
      <c r="R53" s="374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372"/>
      <c r="AD53" s="712"/>
      <c r="AE53" s="522"/>
    </row>
    <row r="54" spans="1:31" ht="17.25" customHeight="1">
      <c r="A54" s="44" t="s">
        <v>556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>
        <v>50000</v>
      </c>
      <c r="M54" s="47">
        <v>50000</v>
      </c>
      <c r="N54" s="47">
        <v>50000</v>
      </c>
      <c r="O54" s="47">
        <v>50000</v>
      </c>
      <c r="P54" s="47">
        <v>0</v>
      </c>
      <c r="Q54" s="712">
        <f t="shared" si="0"/>
        <v>0</v>
      </c>
      <c r="R54" s="374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372"/>
      <c r="AD54" s="712"/>
      <c r="AE54" s="522"/>
    </row>
    <row r="55" spans="1:31" ht="39.75" customHeight="1">
      <c r="A55" s="44" t="s">
        <v>1435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>
        <v>53640</v>
      </c>
      <c r="M55" s="47">
        <v>53640</v>
      </c>
      <c r="N55" s="47">
        <v>53640</v>
      </c>
      <c r="O55" s="47">
        <v>53640</v>
      </c>
      <c r="P55" s="47">
        <v>53640</v>
      </c>
      <c r="Q55" s="712">
        <f t="shared" si="0"/>
        <v>1</v>
      </c>
      <c r="R55" s="374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372"/>
      <c r="AD55" s="712"/>
      <c r="AE55" s="522"/>
    </row>
    <row r="56" spans="1:31" ht="36.75" customHeight="1">
      <c r="A56" s="44" t="s">
        <v>578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712"/>
      <c r="R56" s="374"/>
      <c r="S56" s="50"/>
      <c r="T56" s="50"/>
      <c r="U56" s="50"/>
      <c r="V56" s="50"/>
      <c r="W56" s="50"/>
      <c r="X56" s="50"/>
      <c r="Y56" s="50"/>
      <c r="Z56" s="50"/>
      <c r="AA56" s="50">
        <v>70000</v>
      </c>
      <c r="AB56" s="50">
        <v>70000</v>
      </c>
      <c r="AC56" s="50">
        <v>70000</v>
      </c>
      <c r="AD56" s="712">
        <f t="shared" si="1"/>
        <v>1</v>
      </c>
      <c r="AE56" s="522"/>
    </row>
    <row r="57" spans="1:31" s="19" customFormat="1" ht="18">
      <c r="A57" s="44" t="s">
        <v>612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>
        <v>20000</v>
      </c>
      <c r="P57" s="47">
        <v>20000</v>
      </c>
      <c r="Q57" s="712">
        <f t="shared" si="0"/>
        <v>1</v>
      </c>
      <c r="R57" s="375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71"/>
      <c r="AD57" s="68"/>
      <c r="AE57" s="523"/>
    </row>
    <row r="58" spans="1:31" ht="18">
      <c r="A58" s="43" t="s">
        <v>364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>
        <v>70000</v>
      </c>
      <c r="P58" s="50">
        <v>70000</v>
      </c>
      <c r="Q58" s="712">
        <f t="shared" si="0"/>
        <v>1</v>
      </c>
      <c r="R58" s="375"/>
      <c r="S58" s="47"/>
      <c r="T58" s="47"/>
      <c r="U58" s="47"/>
      <c r="V58" s="47"/>
      <c r="W58" s="50"/>
      <c r="X58" s="50"/>
      <c r="Y58" s="50"/>
      <c r="Z58" s="50"/>
      <c r="AA58" s="50"/>
      <c r="AB58" s="50"/>
      <c r="AC58" s="372"/>
      <c r="AD58" s="49"/>
      <c r="AE58" s="522"/>
    </row>
    <row r="59" spans="1:31" ht="18">
      <c r="A59" s="4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372"/>
      <c r="Q59" s="712"/>
      <c r="R59" s="375"/>
      <c r="S59" s="47"/>
      <c r="T59" s="47"/>
      <c r="U59" s="47"/>
      <c r="V59" s="47"/>
      <c r="W59" s="50"/>
      <c r="X59" s="50"/>
      <c r="Y59" s="50"/>
      <c r="Z59" s="50"/>
      <c r="AA59" s="50"/>
      <c r="AB59" s="50"/>
      <c r="AC59" s="372"/>
      <c r="AD59" s="49"/>
      <c r="AE59" s="522"/>
    </row>
    <row r="60" spans="1:31" ht="23.25" customHeight="1" thickBot="1">
      <c r="A60" s="45" t="s">
        <v>1</v>
      </c>
      <c r="B60" s="51">
        <f aca="true" t="shared" si="2" ref="B60:J60">SUM(B10:B59)</f>
        <v>0</v>
      </c>
      <c r="C60" s="51">
        <f t="shared" si="2"/>
        <v>0</v>
      </c>
      <c r="D60" s="51">
        <f t="shared" si="2"/>
        <v>0</v>
      </c>
      <c r="E60" s="51">
        <f t="shared" si="2"/>
        <v>0</v>
      </c>
      <c r="F60" s="51">
        <f t="shared" si="2"/>
        <v>0</v>
      </c>
      <c r="G60" s="51">
        <f t="shared" si="2"/>
        <v>0</v>
      </c>
      <c r="H60" s="51">
        <f t="shared" si="2"/>
        <v>0</v>
      </c>
      <c r="I60" s="51">
        <f t="shared" si="2"/>
        <v>0</v>
      </c>
      <c r="J60" s="51">
        <f t="shared" si="2"/>
        <v>11431025</v>
      </c>
      <c r="K60" s="51">
        <f>SUM(K10:K59)</f>
        <v>13421525</v>
      </c>
      <c r="L60" s="51">
        <f>SUM(L10:L59)</f>
        <v>13321165</v>
      </c>
      <c r="M60" s="51">
        <f>SUM(M10:M59)</f>
        <v>13321165</v>
      </c>
      <c r="N60" s="51">
        <f>SUM(N10:N59)</f>
        <v>11521165</v>
      </c>
      <c r="O60" s="51">
        <f>SUM(O10:O19,O42,O48:O59)</f>
        <v>11553645</v>
      </c>
      <c r="P60" s="51">
        <f>SUM(P10:P19,P42,P48:P59)</f>
        <v>8898120</v>
      </c>
      <c r="Q60" s="717">
        <f>+P60/O60</f>
        <v>0.770156950468878</v>
      </c>
      <c r="R60" s="714">
        <f aca="true" t="shared" si="3" ref="R60:Z60">SUM(R10:R59)</f>
        <v>0</v>
      </c>
      <c r="S60" s="51">
        <f t="shared" si="3"/>
        <v>0</v>
      </c>
      <c r="T60" s="51">
        <f t="shared" si="3"/>
        <v>0</v>
      </c>
      <c r="U60" s="51">
        <f t="shared" si="3"/>
        <v>0</v>
      </c>
      <c r="V60" s="51">
        <f t="shared" si="3"/>
        <v>0</v>
      </c>
      <c r="W60" s="51">
        <f t="shared" si="3"/>
        <v>3000000</v>
      </c>
      <c r="X60" s="51">
        <f t="shared" si="3"/>
        <v>3000000</v>
      </c>
      <c r="Y60" s="51">
        <f t="shared" si="3"/>
        <v>3000000</v>
      </c>
      <c r="Z60" s="51">
        <f t="shared" si="3"/>
        <v>3000000</v>
      </c>
      <c r="AA60" s="51">
        <f>SUM(AA10:AA59)</f>
        <v>4870000</v>
      </c>
      <c r="AB60" s="51">
        <f>SUM(AB10:AB59)</f>
        <v>4870000</v>
      </c>
      <c r="AC60" s="51">
        <f>SUM(AC10:AC59)</f>
        <v>4820000</v>
      </c>
      <c r="AD60" s="1171">
        <f>+AC60/AB60</f>
        <v>0.9897330595482546</v>
      </c>
      <c r="AE60" s="713"/>
    </row>
    <row r="61" spans="1:30" ht="15">
      <c r="A61" s="42"/>
      <c r="B61" s="14"/>
      <c r="C61" s="14"/>
      <c r="D61" s="14"/>
      <c r="E61" s="14"/>
      <c r="F61" s="14"/>
      <c r="G61" s="14"/>
      <c r="H61" s="14"/>
      <c r="I61" s="14"/>
      <c r="J61" s="286"/>
      <c r="K61" s="286"/>
      <c r="L61" s="286"/>
      <c r="M61" s="286"/>
      <c r="N61" s="875"/>
      <c r="O61" s="286"/>
      <c r="P61" s="286"/>
      <c r="Q61" s="286"/>
      <c r="R61" s="286"/>
      <c r="S61" s="14"/>
      <c r="T61" s="14"/>
      <c r="U61" s="14"/>
      <c r="V61" s="14"/>
      <c r="W61" s="286"/>
      <c r="AA61" s="369"/>
      <c r="AB61" s="369"/>
      <c r="AC61" s="369"/>
      <c r="AD61" s="369"/>
    </row>
    <row r="62" spans="1:23" ht="14.25">
      <c r="A62" s="1606" t="s">
        <v>221</v>
      </c>
      <c r="B62" s="1606"/>
      <c r="C62" s="1606"/>
      <c r="D62" s="1606"/>
      <c r="E62" s="1606"/>
      <c r="F62" s="1606"/>
      <c r="G62" s="1606"/>
      <c r="H62" s="1606"/>
      <c r="I62" s="1606"/>
      <c r="J62" s="1606"/>
      <c r="K62" s="1606"/>
      <c r="L62" s="1606"/>
      <c r="M62" s="1606"/>
      <c r="N62" s="1606"/>
      <c r="O62" s="1606"/>
      <c r="P62" s="1606"/>
      <c r="Q62" s="1606"/>
      <c r="R62" s="1606"/>
      <c r="S62" s="1606"/>
      <c r="T62" s="1606"/>
      <c r="U62" s="1606"/>
      <c r="V62" s="1606"/>
      <c r="W62" s="1606"/>
    </row>
    <row r="63" ht="13.5" thickBot="1">
      <c r="W63" s="12"/>
    </row>
    <row r="64" spans="1:31" ht="29.25" customHeight="1">
      <c r="A64" s="1594" t="s">
        <v>220</v>
      </c>
      <c r="B64" s="1596" t="s">
        <v>23</v>
      </c>
      <c r="C64" s="1597"/>
      <c r="D64" s="1597"/>
      <c r="E64" s="1597"/>
      <c r="F64" s="1597"/>
      <c r="G64" s="1597"/>
      <c r="H64" s="1597"/>
      <c r="I64" s="1597"/>
      <c r="J64" s="1597"/>
      <c r="K64" s="1597"/>
      <c r="L64" s="1597"/>
      <c r="M64" s="1597"/>
      <c r="N64" s="1597"/>
      <c r="O64" s="1597"/>
      <c r="P64" s="1597"/>
      <c r="Q64" s="1597"/>
      <c r="R64" s="1598" t="s">
        <v>24</v>
      </c>
      <c r="S64" s="1599"/>
      <c r="T64" s="1599"/>
      <c r="U64" s="1599"/>
      <c r="V64" s="1599"/>
      <c r="W64" s="1599"/>
      <c r="X64" s="1599"/>
      <c r="Y64" s="1599"/>
      <c r="Z64" s="1599"/>
      <c r="AA64" s="1599"/>
      <c r="AB64" s="1596"/>
      <c r="AC64" s="1596"/>
      <c r="AD64" s="1600"/>
      <c r="AE64" s="522"/>
    </row>
    <row r="65" spans="1:31" ht="29.25" customHeight="1">
      <c r="A65" s="1595"/>
      <c r="B65" s="1601" t="s">
        <v>63</v>
      </c>
      <c r="C65" s="1602"/>
      <c r="D65" s="1602"/>
      <c r="E65" s="1602"/>
      <c r="F65" s="1602"/>
      <c r="G65" s="1602"/>
      <c r="H65" s="1602"/>
      <c r="I65" s="1603"/>
      <c r="J65" s="1601" t="s">
        <v>64</v>
      </c>
      <c r="K65" s="1602"/>
      <c r="L65" s="1602"/>
      <c r="M65" s="1602"/>
      <c r="N65" s="1602"/>
      <c r="O65" s="1602"/>
      <c r="P65" s="1602"/>
      <c r="Q65" s="1602"/>
      <c r="R65" s="1604" t="s">
        <v>63</v>
      </c>
      <c r="S65" s="1605"/>
      <c r="T65" s="1605"/>
      <c r="U65" s="1605"/>
      <c r="V65" s="1605"/>
      <c r="W65" s="1605" t="s">
        <v>64</v>
      </c>
      <c r="X65" s="1605"/>
      <c r="Y65" s="1605"/>
      <c r="Z65" s="1605"/>
      <c r="AA65" s="1605"/>
      <c r="AB65" s="1601"/>
      <c r="AC65" s="1601"/>
      <c r="AD65" s="1607"/>
      <c r="AE65" s="522"/>
    </row>
    <row r="66" spans="1:31" ht="29.25" customHeight="1">
      <c r="A66" s="299"/>
      <c r="B66" s="300" t="s">
        <v>229</v>
      </c>
      <c r="C66" s="300" t="s">
        <v>227</v>
      </c>
      <c r="D66" s="524" t="s">
        <v>232</v>
      </c>
      <c r="E66" s="300" t="s">
        <v>234</v>
      </c>
      <c r="F66" s="300" t="s">
        <v>439</v>
      </c>
      <c r="G66" s="300" t="s">
        <v>443</v>
      </c>
      <c r="H66" s="787" t="s">
        <v>401</v>
      </c>
      <c r="I66" s="769" t="s">
        <v>237</v>
      </c>
      <c r="J66" s="300" t="s">
        <v>229</v>
      </c>
      <c r="K66" s="763" t="s">
        <v>227</v>
      </c>
      <c r="L66" s="768" t="s">
        <v>232</v>
      </c>
      <c r="M66" s="769" t="s">
        <v>234</v>
      </c>
      <c r="N66" s="300" t="s">
        <v>439</v>
      </c>
      <c r="O66" s="787" t="s">
        <v>443</v>
      </c>
      <c r="P66" s="787" t="s">
        <v>401</v>
      </c>
      <c r="Q66" s="769" t="s">
        <v>237</v>
      </c>
      <c r="R66" s="764" t="s">
        <v>229</v>
      </c>
      <c r="S66" s="300" t="s">
        <v>227</v>
      </c>
      <c r="T66" s="524" t="s">
        <v>232</v>
      </c>
      <c r="U66" s="300" t="s">
        <v>234</v>
      </c>
      <c r="V66" s="300" t="s">
        <v>401</v>
      </c>
      <c r="W66" s="300" t="s">
        <v>229</v>
      </c>
      <c r="X66" s="300" t="s">
        <v>227</v>
      </c>
      <c r="Y66" s="524" t="s">
        <v>232</v>
      </c>
      <c r="Z66" s="300" t="s">
        <v>234</v>
      </c>
      <c r="AA66" s="300" t="s">
        <v>439</v>
      </c>
      <c r="AB66" s="787" t="s">
        <v>443</v>
      </c>
      <c r="AC66" s="787" t="s">
        <v>401</v>
      </c>
      <c r="AD66" s="769" t="s">
        <v>237</v>
      </c>
      <c r="AE66" s="522"/>
    </row>
    <row r="67" spans="1:31" ht="30.75">
      <c r="A67" s="43" t="s">
        <v>242</v>
      </c>
      <c r="B67" s="50">
        <v>348530</v>
      </c>
      <c r="C67" s="50">
        <v>348530</v>
      </c>
      <c r="D67" s="50">
        <v>348530</v>
      </c>
      <c r="E67" s="50">
        <v>348530</v>
      </c>
      <c r="F67" s="50">
        <v>348530</v>
      </c>
      <c r="G67" s="50">
        <v>348660</v>
      </c>
      <c r="H67" s="50">
        <v>348660</v>
      </c>
      <c r="I67" s="712">
        <f>+H67/G67</f>
        <v>1</v>
      </c>
      <c r="J67" s="50"/>
      <c r="K67" s="50"/>
      <c r="L67" s="50"/>
      <c r="M67" s="50"/>
      <c r="N67" s="372"/>
      <c r="O67" s="372"/>
      <c r="P67" s="372"/>
      <c r="Q67" s="372"/>
      <c r="R67" s="375"/>
      <c r="S67" s="47"/>
      <c r="T67" s="47"/>
      <c r="U67" s="47"/>
      <c r="V67" s="47"/>
      <c r="W67" s="50"/>
      <c r="X67" s="50"/>
      <c r="Y67" s="50"/>
      <c r="Z67" s="50"/>
      <c r="AA67" s="47"/>
      <c r="AB67" s="371"/>
      <c r="AC67" s="371"/>
      <c r="AD67" s="68"/>
      <c r="AE67" s="522"/>
    </row>
    <row r="68" spans="1:31" ht="18" hidden="1">
      <c r="A68" s="43" t="s">
        <v>444</v>
      </c>
      <c r="B68" s="69"/>
      <c r="C68" s="69"/>
      <c r="D68" s="69"/>
      <c r="E68" s="69"/>
      <c r="F68" s="69"/>
      <c r="G68" s="69"/>
      <c r="H68" s="376"/>
      <c r="I68" s="712"/>
      <c r="J68" s="69"/>
      <c r="K68" s="69"/>
      <c r="L68" s="69"/>
      <c r="M68" s="69"/>
      <c r="N68" s="376"/>
      <c r="O68" s="876"/>
      <c r="P68" s="873"/>
      <c r="Q68" s="376"/>
      <c r="R68" s="375"/>
      <c r="S68" s="47"/>
      <c r="T68" s="47"/>
      <c r="U68" s="47"/>
      <c r="V68" s="47"/>
      <c r="W68" s="50"/>
      <c r="X68" s="50"/>
      <c r="Y68" s="50"/>
      <c r="Z68" s="50"/>
      <c r="AA68" s="47"/>
      <c r="AB68" s="371"/>
      <c r="AC68" s="371"/>
      <c r="AD68" s="68"/>
      <c r="AE68" s="522"/>
    </row>
    <row r="69" spans="1:31" ht="18" hidden="1">
      <c r="A69" s="70" t="s">
        <v>497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877"/>
      <c r="P69" s="874"/>
      <c r="Q69" s="712"/>
      <c r="R69" s="375"/>
      <c r="S69" s="47"/>
      <c r="T69" s="47"/>
      <c r="U69" s="47"/>
      <c r="V69" s="47"/>
      <c r="W69" s="50"/>
      <c r="X69" s="50"/>
      <c r="Y69" s="50"/>
      <c r="Z69" s="50"/>
      <c r="AA69" s="47"/>
      <c r="AB69" s="371"/>
      <c r="AC69" s="371"/>
      <c r="AD69" s="68"/>
      <c r="AE69" s="522"/>
    </row>
    <row r="70" spans="1:31" ht="18">
      <c r="A70" s="70" t="s">
        <v>496</v>
      </c>
      <c r="B70" s="69"/>
      <c r="C70" s="69"/>
      <c r="D70" s="69"/>
      <c r="E70" s="69"/>
      <c r="F70" s="69"/>
      <c r="G70" s="69"/>
      <c r="H70" s="69"/>
      <c r="I70" s="69"/>
      <c r="J70" s="69">
        <v>868968</v>
      </c>
      <c r="K70" s="69">
        <v>868968</v>
      </c>
      <c r="L70" s="69">
        <v>868968</v>
      </c>
      <c r="M70" s="69">
        <v>868968</v>
      </c>
      <c r="N70" s="69">
        <v>868968</v>
      </c>
      <c r="O70" s="877">
        <f>72414*8+80460*4</f>
        <v>901152</v>
      </c>
      <c r="P70" s="877">
        <f>72414*8+80460*4</f>
        <v>901152</v>
      </c>
      <c r="Q70" s="712">
        <f>+P70/O70</f>
        <v>1</v>
      </c>
      <c r="R70" s="375"/>
      <c r="S70" s="47"/>
      <c r="T70" s="47"/>
      <c r="U70" s="47"/>
      <c r="V70" s="47"/>
      <c r="W70" s="50"/>
      <c r="X70" s="50"/>
      <c r="Y70" s="50"/>
      <c r="Z70" s="50"/>
      <c r="AA70" s="47"/>
      <c r="AB70" s="371"/>
      <c r="AC70" s="371"/>
      <c r="AD70" s="68"/>
      <c r="AE70" s="522"/>
    </row>
    <row r="71" spans="1:31" ht="18">
      <c r="A71" s="70" t="s">
        <v>531</v>
      </c>
      <c r="B71" s="69"/>
      <c r="C71" s="69"/>
      <c r="D71" s="69"/>
      <c r="E71" s="69"/>
      <c r="F71" s="69"/>
      <c r="G71" s="69"/>
      <c r="H71" s="69"/>
      <c r="I71" s="69"/>
      <c r="J71" s="69">
        <v>308914</v>
      </c>
      <c r="K71" s="69">
        <v>308914</v>
      </c>
      <c r="L71" s="69">
        <v>308914</v>
      </c>
      <c r="M71" s="69">
        <v>308914</v>
      </c>
      <c r="N71" s="69">
        <v>308914</v>
      </c>
      <c r="O71" s="877">
        <f>154458+154457</f>
        <v>308915</v>
      </c>
      <c r="P71" s="877">
        <f>154457+154458</f>
        <v>308915</v>
      </c>
      <c r="Q71" s="712">
        <f>+P71/O71</f>
        <v>1</v>
      </c>
      <c r="R71" s="375"/>
      <c r="S71" s="47"/>
      <c r="T71" s="47"/>
      <c r="U71" s="47"/>
      <c r="V71" s="47"/>
      <c r="W71" s="50"/>
      <c r="X71" s="50"/>
      <c r="Y71" s="50"/>
      <c r="Z71" s="50"/>
      <c r="AA71" s="47"/>
      <c r="AB71" s="371"/>
      <c r="AC71" s="371"/>
      <c r="AD71" s="68"/>
      <c r="AE71" s="522"/>
    </row>
    <row r="72" spans="1:31" ht="18">
      <c r="A72" s="70" t="s">
        <v>532</v>
      </c>
      <c r="B72" s="69"/>
      <c r="C72" s="69"/>
      <c r="D72" s="69"/>
      <c r="E72" s="69"/>
      <c r="F72" s="69"/>
      <c r="G72" s="69"/>
      <c r="H72" s="69"/>
      <c r="I72" s="69"/>
      <c r="J72" s="69">
        <v>53640</v>
      </c>
      <c r="K72" s="69">
        <v>53640</v>
      </c>
      <c r="L72" s="69">
        <v>53640</v>
      </c>
      <c r="M72" s="69">
        <v>53640</v>
      </c>
      <c r="N72" s="69">
        <v>53640</v>
      </c>
      <c r="O72" s="69">
        <v>53640</v>
      </c>
      <c r="P72" s="69">
        <v>53640</v>
      </c>
      <c r="Q72" s="712">
        <f>+P72/O72</f>
        <v>1</v>
      </c>
      <c r="R72" s="375"/>
      <c r="S72" s="47"/>
      <c r="T72" s="47"/>
      <c r="U72" s="47"/>
      <c r="V72" s="47"/>
      <c r="W72" s="50"/>
      <c r="X72" s="50"/>
      <c r="Y72" s="50"/>
      <c r="Z72" s="50"/>
      <c r="AA72" s="47"/>
      <c r="AB72" s="371"/>
      <c r="AC72" s="371"/>
      <c r="AD72" s="68"/>
      <c r="AE72" s="522"/>
    </row>
    <row r="73" spans="1:31" ht="18" hidden="1">
      <c r="A73" s="70" t="s">
        <v>223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376"/>
      <c r="Q73" s="712"/>
      <c r="R73" s="375"/>
      <c r="S73" s="47"/>
      <c r="T73" s="47"/>
      <c r="U73" s="47"/>
      <c r="V73" s="47"/>
      <c r="W73" s="50"/>
      <c r="X73" s="50"/>
      <c r="Y73" s="50"/>
      <c r="Z73" s="50"/>
      <c r="AA73" s="47"/>
      <c r="AB73" s="371"/>
      <c r="AC73" s="371"/>
      <c r="AD73" s="68"/>
      <c r="AE73" s="522"/>
    </row>
    <row r="74" spans="1:31" ht="18">
      <c r="A74" s="70" t="s">
        <v>224</v>
      </c>
      <c r="B74" s="69"/>
      <c r="C74" s="69"/>
      <c r="D74" s="69"/>
      <c r="E74" s="69"/>
      <c r="F74" s="69"/>
      <c r="G74" s="69"/>
      <c r="H74" s="69"/>
      <c r="I74" s="69"/>
      <c r="J74" s="69">
        <v>86670</v>
      </c>
      <c r="K74" s="69">
        <v>86670</v>
      </c>
      <c r="L74" s="69">
        <v>86670</v>
      </c>
      <c r="M74" s="69">
        <v>86670</v>
      </c>
      <c r="N74" s="69">
        <v>86670</v>
      </c>
      <c r="O74" s="69">
        <v>66485</v>
      </c>
      <c r="P74" s="376"/>
      <c r="Q74" s="712">
        <f>+P74/O74</f>
        <v>0</v>
      </c>
      <c r="R74" s="375"/>
      <c r="S74" s="47"/>
      <c r="T74" s="47"/>
      <c r="U74" s="47"/>
      <c r="V74" s="47"/>
      <c r="W74" s="50"/>
      <c r="X74" s="50"/>
      <c r="Y74" s="50"/>
      <c r="Z74" s="50"/>
      <c r="AA74" s="47"/>
      <c r="AB74" s="371"/>
      <c r="AC74" s="371"/>
      <c r="AD74" s="68"/>
      <c r="AE74" s="522"/>
    </row>
    <row r="75" spans="1:31" ht="18">
      <c r="A75" s="70" t="s">
        <v>225</v>
      </c>
      <c r="B75" s="69"/>
      <c r="C75" s="69"/>
      <c r="D75" s="69"/>
      <c r="E75" s="69"/>
      <c r="F75" s="69"/>
      <c r="G75" s="69"/>
      <c r="H75" s="69"/>
      <c r="I75" s="69"/>
      <c r="J75" s="69">
        <v>54900</v>
      </c>
      <c r="K75" s="69">
        <v>54900</v>
      </c>
      <c r="L75" s="69">
        <v>0</v>
      </c>
      <c r="M75" s="69">
        <v>0</v>
      </c>
      <c r="N75" s="69">
        <v>0</v>
      </c>
      <c r="O75" s="69"/>
      <c r="P75" s="376"/>
      <c r="Q75" s="712"/>
      <c r="R75" s="375"/>
      <c r="S75" s="47"/>
      <c r="T75" s="47"/>
      <c r="U75" s="47"/>
      <c r="V75" s="47"/>
      <c r="W75" s="50"/>
      <c r="X75" s="50"/>
      <c r="Y75" s="50"/>
      <c r="Z75" s="50"/>
      <c r="AA75" s="47"/>
      <c r="AB75" s="371"/>
      <c r="AC75" s="371"/>
      <c r="AD75" s="68"/>
      <c r="AE75" s="522"/>
    </row>
    <row r="76" spans="1:31" ht="18" hidden="1">
      <c r="A76" s="70" t="s">
        <v>226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376"/>
      <c r="Q76" s="712"/>
      <c r="R76" s="375"/>
      <c r="S76" s="47"/>
      <c r="T76" s="47"/>
      <c r="U76" s="47"/>
      <c r="V76" s="47"/>
      <c r="W76" s="50"/>
      <c r="X76" s="50"/>
      <c r="Y76" s="50"/>
      <c r="Z76" s="50"/>
      <c r="AA76" s="47"/>
      <c r="AB76" s="371"/>
      <c r="AC76" s="371"/>
      <c r="AD76" s="68"/>
      <c r="AE76" s="522"/>
    </row>
    <row r="77" spans="1:31" ht="30.75">
      <c r="A77" s="70" t="s">
        <v>533</v>
      </c>
      <c r="B77" s="69"/>
      <c r="C77" s="69"/>
      <c r="D77" s="69"/>
      <c r="E77" s="69"/>
      <c r="F77" s="69"/>
      <c r="G77" s="69"/>
      <c r="H77" s="69"/>
      <c r="I77" s="69"/>
      <c r="J77" s="69">
        <f aca="true" t="shared" si="4" ref="J77:O77">241290+241380</f>
        <v>482670</v>
      </c>
      <c r="K77" s="69">
        <f t="shared" si="4"/>
        <v>482670</v>
      </c>
      <c r="L77" s="69">
        <f t="shared" si="4"/>
        <v>482670</v>
      </c>
      <c r="M77" s="69">
        <f t="shared" si="4"/>
        <v>482670</v>
      </c>
      <c r="N77" s="69">
        <f t="shared" si="4"/>
        <v>482670</v>
      </c>
      <c r="O77" s="69">
        <f t="shared" si="4"/>
        <v>482670</v>
      </c>
      <c r="P77" s="376">
        <v>241380</v>
      </c>
      <c r="Q77" s="712">
        <f>+P77/O77</f>
        <v>0.5000932314003357</v>
      </c>
      <c r="R77" s="375"/>
      <c r="S77" s="47"/>
      <c r="T77" s="47"/>
      <c r="U77" s="47"/>
      <c r="V77" s="47"/>
      <c r="W77" s="50"/>
      <c r="X77" s="50"/>
      <c r="Y77" s="50"/>
      <c r="Z77" s="50"/>
      <c r="AA77" s="47"/>
      <c r="AB77" s="371"/>
      <c r="AC77" s="371"/>
      <c r="AD77" s="68"/>
      <c r="AE77" s="522"/>
    </row>
    <row r="78" spans="1:31" ht="39" customHeight="1">
      <c r="A78" s="70" t="s">
        <v>576</v>
      </c>
      <c r="B78" s="69">
        <v>117165825</v>
      </c>
      <c r="C78" s="69">
        <v>117165825</v>
      </c>
      <c r="D78" s="69">
        <v>117165825</v>
      </c>
      <c r="E78" s="69">
        <v>117165825</v>
      </c>
      <c r="F78" s="69">
        <f>1009434+117165825+4427160</f>
        <v>122602419</v>
      </c>
      <c r="G78" s="69">
        <f>130151429+7855584</f>
        <v>138007013</v>
      </c>
      <c r="H78" s="69">
        <f>130151429+7855584</f>
        <v>138007013</v>
      </c>
      <c r="I78" s="712">
        <f>+H78/G78</f>
        <v>1</v>
      </c>
      <c r="J78" s="69"/>
      <c r="K78" s="69"/>
      <c r="L78" s="69"/>
      <c r="M78" s="69"/>
      <c r="N78" s="69"/>
      <c r="O78" s="69"/>
      <c r="P78" s="376"/>
      <c r="Q78" s="376"/>
      <c r="R78" s="375"/>
      <c r="S78" s="47"/>
      <c r="T78" s="47"/>
      <c r="U78" s="47"/>
      <c r="V78" s="47"/>
      <c r="W78" s="50"/>
      <c r="X78" s="50"/>
      <c r="Y78" s="50"/>
      <c r="Z78" s="50"/>
      <c r="AA78" s="47"/>
      <c r="AB78" s="371"/>
      <c r="AC78" s="371"/>
      <c r="AD78" s="68"/>
      <c r="AE78" s="522"/>
    </row>
    <row r="79" spans="1:31" ht="39" customHeight="1">
      <c r="A79" s="70" t="s">
        <v>577</v>
      </c>
      <c r="B79" s="69"/>
      <c r="C79" s="69"/>
      <c r="D79" s="69"/>
      <c r="E79" s="69"/>
      <c r="F79" s="69">
        <v>189763</v>
      </c>
      <c r="G79" s="69">
        <v>189763</v>
      </c>
      <c r="H79" s="69">
        <v>189763</v>
      </c>
      <c r="I79" s="712">
        <f>+H79/G79</f>
        <v>1</v>
      </c>
      <c r="J79" s="69"/>
      <c r="K79" s="69"/>
      <c r="L79" s="69"/>
      <c r="M79" s="69"/>
      <c r="N79" s="69"/>
      <c r="O79" s="69"/>
      <c r="P79" s="376"/>
      <c r="Q79" s="376"/>
      <c r="R79" s="375"/>
      <c r="S79" s="47"/>
      <c r="T79" s="47"/>
      <c r="U79" s="47"/>
      <c r="V79" s="47"/>
      <c r="W79" s="50"/>
      <c r="X79" s="50"/>
      <c r="Y79" s="50"/>
      <c r="Z79" s="50"/>
      <c r="AA79" s="47"/>
      <c r="AB79" s="371"/>
      <c r="AC79" s="371"/>
      <c r="AD79" s="68"/>
      <c r="AE79" s="522"/>
    </row>
    <row r="80" spans="1:31" ht="18">
      <c r="A80" s="70" t="s">
        <v>241</v>
      </c>
      <c r="B80" s="69"/>
      <c r="C80" s="69"/>
      <c r="D80" s="69"/>
      <c r="E80" s="69"/>
      <c r="F80" s="69"/>
      <c r="G80" s="69"/>
      <c r="H80" s="69"/>
      <c r="I80" s="712"/>
      <c r="J80" s="69">
        <v>12000</v>
      </c>
      <c r="K80" s="69">
        <v>12000</v>
      </c>
      <c r="L80" s="69">
        <v>12000</v>
      </c>
      <c r="M80" s="69">
        <v>12000</v>
      </c>
      <c r="N80" s="69">
        <v>12000</v>
      </c>
      <c r="O80" s="69"/>
      <c r="P80" s="376"/>
      <c r="Q80" s="376"/>
      <c r="R80" s="375"/>
      <c r="S80" s="47"/>
      <c r="T80" s="47"/>
      <c r="U80" s="47"/>
      <c r="V80" s="47"/>
      <c r="W80" s="50"/>
      <c r="X80" s="50"/>
      <c r="Y80" s="50"/>
      <c r="Z80" s="50"/>
      <c r="AA80" s="47"/>
      <c r="AB80" s="371"/>
      <c r="AC80" s="371"/>
      <c r="AD80" s="68"/>
      <c r="AE80" s="522"/>
    </row>
    <row r="81" spans="1:31" ht="18">
      <c r="A81" s="70" t="s">
        <v>611</v>
      </c>
      <c r="B81" s="69"/>
      <c r="C81" s="69"/>
      <c r="D81" s="69"/>
      <c r="E81" s="69"/>
      <c r="F81" s="69"/>
      <c r="G81" s="69">
        <v>530000</v>
      </c>
      <c r="H81" s="69">
        <v>470000</v>
      </c>
      <c r="I81" s="712">
        <f>+H81/G81</f>
        <v>0.8867924528301887</v>
      </c>
      <c r="J81" s="69"/>
      <c r="K81" s="69"/>
      <c r="L81" s="69"/>
      <c r="M81" s="69"/>
      <c r="N81" s="69"/>
      <c r="O81" s="69"/>
      <c r="P81" s="376"/>
      <c r="Q81" s="376"/>
      <c r="R81" s="375"/>
      <c r="S81" s="47"/>
      <c r="T81" s="47"/>
      <c r="U81" s="47"/>
      <c r="V81" s="47"/>
      <c r="W81" s="50"/>
      <c r="X81" s="50"/>
      <c r="Y81" s="50"/>
      <c r="Z81" s="50"/>
      <c r="AA81" s="47"/>
      <c r="AB81" s="371"/>
      <c r="AC81" s="371"/>
      <c r="AD81" s="68"/>
      <c r="AE81" s="522"/>
    </row>
    <row r="82" spans="1:31" ht="47.25" customHeight="1" hidden="1">
      <c r="A82" s="70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376"/>
      <c r="Q82" s="376"/>
      <c r="R82" s="375"/>
      <c r="S82" s="47"/>
      <c r="T82" s="47"/>
      <c r="U82" s="47"/>
      <c r="V82" s="47"/>
      <c r="W82" s="50"/>
      <c r="X82" s="50"/>
      <c r="Y82" s="50"/>
      <c r="Z82" s="50"/>
      <c r="AA82" s="47"/>
      <c r="AB82" s="371"/>
      <c r="AC82" s="371"/>
      <c r="AD82" s="68"/>
      <c r="AE82" s="522"/>
    </row>
    <row r="83" spans="1:31" ht="39" customHeight="1" hidden="1">
      <c r="A83" s="243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376"/>
      <c r="Q83" s="376"/>
      <c r="R83" s="375"/>
      <c r="S83" s="47"/>
      <c r="T83" s="47"/>
      <c r="U83" s="47"/>
      <c r="V83" s="47"/>
      <c r="W83" s="50"/>
      <c r="X83" s="50"/>
      <c r="Y83" s="50"/>
      <c r="Z83" s="50"/>
      <c r="AA83" s="47"/>
      <c r="AB83" s="371"/>
      <c r="AC83" s="371"/>
      <c r="AD83" s="68"/>
      <c r="AE83" s="522"/>
    </row>
    <row r="84" spans="1:31" ht="39" customHeight="1" hidden="1">
      <c r="A84" s="243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376"/>
      <c r="Q84" s="376"/>
      <c r="R84" s="375"/>
      <c r="S84" s="47"/>
      <c r="T84" s="47"/>
      <c r="U84" s="47"/>
      <c r="V84" s="47"/>
      <c r="W84" s="50"/>
      <c r="X84" s="50"/>
      <c r="Y84" s="50"/>
      <c r="Z84" s="50"/>
      <c r="AA84" s="47"/>
      <c r="AB84" s="371"/>
      <c r="AC84" s="371"/>
      <c r="AD84" s="68"/>
      <c r="AE84" s="522"/>
    </row>
    <row r="85" spans="1:31" ht="39" customHeight="1" hidden="1">
      <c r="A85" s="243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376"/>
      <c r="Q85" s="376"/>
      <c r="R85" s="375"/>
      <c r="S85" s="47"/>
      <c r="T85" s="47"/>
      <c r="U85" s="47"/>
      <c r="V85" s="47"/>
      <c r="W85" s="50"/>
      <c r="X85" s="50"/>
      <c r="Y85" s="50"/>
      <c r="Z85" s="50"/>
      <c r="AA85" s="47"/>
      <c r="AB85" s="371"/>
      <c r="AC85" s="371"/>
      <c r="AD85" s="68"/>
      <c r="AE85" s="522"/>
    </row>
    <row r="86" spans="1:31" ht="39" customHeight="1" hidden="1">
      <c r="A86" s="243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376"/>
      <c r="Q86" s="376"/>
      <c r="R86" s="375"/>
      <c r="S86" s="47"/>
      <c r="T86" s="47"/>
      <c r="U86" s="47"/>
      <c r="V86" s="47"/>
      <c r="W86" s="50"/>
      <c r="X86" s="50"/>
      <c r="Y86" s="50"/>
      <c r="Z86" s="50"/>
      <c r="AA86" s="47"/>
      <c r="AB86" s="371"/>
      <c r="AC86" s="371"/>
      <c r="AD86" s="68"/>
      <c r="AE86" s="522"/>
    </row>
    <row r="87" spans="1:31" ht="39" customHeight="1" hidden="1">
      <c r="A87" s="243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376"/>
      <c r="Q87" s="376"/>
      <c r="R87" s="375"/>
      <c r="S87" s="47"/>
      <c r="T87" s="47"/>
      <c r="U87" s="47"/>
      <c r="V87" s="47"/>
      <c r="W87" s="50"/>
      <c r="X87" s="50"/>
      <c r="Y87" s="50"/>
      <c r="Z87" s="50"/>
      <c r="AA87" s="47"/>
      <c r="AB87" s="371"/>
      <c r="AC87" s="371"/>
      <c r="AD87" s="68"/>
      <c r="AE87" s="522"/>
    </row>
    <row r="88" spans="1:31" ht="39" customHeight="1" hidden="1">
      <c r="A88" s="243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376"/>
      <c r="Q88" s="376"/>
      <c r="R88" s="375"/>
      <c r="S88" s="47"/>
      <c r="T88" s="47"/>
      <c r="U88" s="47"/>
      <c r="V88" s="47"/>
      <c r="W88" s="50"/>
      <c r="X88" s="50"/>
      <c r="Y88" s="50"/>
      <c r="Z88" s="50"/>
      <c r="AA88" s="47"/>
      <c r="AB88" s="371"/>
      <c r="AC88" s="371"/>
      <c r="AD88" s="68"/>
      <c r="AE88" s="522"/>
    </row>
    <row r="89" spans="1:31" s="15" customFormat="1" ht="27" customHeight="1" thickBot="1">
      <c r="A89" s="46" t="s">
        <v>1</v>
      </c>
      <c r="B89" s="52">
        <f aca="true" t="shared" si="5" ref="B89:H89">SUM(B67:B83)</f>
        <v>117514355</v>
      </c>
      <c r="C89" s="52">
        <f>SUM(C67:C83)</f>
        <v>117514355</v>
      </c>
      <c r="D89" s="52">
        <f>SUM(D67:D83)</f>
        <v>117514355</v>
      </c>
      <c r="E89" s="52">
        <f t="shared" si="5"/>
        <v>117514355</v>
      </c>
      <c r="F89" s="52">
        <f t="shared" si="5"/>
        <v>123140712</v>
      </c>
      <c r="G89" s="52">
        <f t="shared" si="5"/>
        <v>139075436</v>
      </c>
      <c r="H89" s="52">
        <f t="shared" si="5"/>
        <v>139015436</v>
      </c>
      <c r="I89" s="717">
        <f>+H89/G89</f>
        <v>0.9995685794578418</v>
      </c>
      <c r="J89" s="716">
        <f aca="true" t="shared" si="6" ref="J89:W89">SUM(J67:J83)</f>
        <v>1867762</v>
      </c>
      <c r="K89" s="716">
        <f aca="true" t="shared" si="7" ref="K89:P89">SUM(K67:K83)</f>
        <v>1867762</v>
      </c>
      <c r="L89" s="716">
        <f t="shared" si="7"/>
        <v>1812862</v>
      </c>
      <c r="M89" s="716">
        <f t="shared" si="7"/>
        <v>1812862</v>
      </c>
      <c r="N89" s="716">
        <f t="shared" si="7"/>
        <v>1812862</v>
      </c>
      <c r="O89" s="716">
        <f t="shared" si="7"/>
        <v>1812862</v>
      </c>
      <c r="P89" s="52">
        <f t="shared" si="7"/>
        <v>1505087</v>
      </c>
      <c r="Q89" s="717">
        <f>+P89/O89</f>
        <v>0.8302270112121055</v>
      </c>
      <c r="R89" s="715">
        <f t="shared" si="6"/>
        <v>0</v>
      </c>
      <c r="S89" s="52">
        <f t="shared" si="6"/>
        <v>0</v>
      </c>
      <c r="T89" s="52">
        <f t="shared" si="6"/>
        <v>0</v>
      </c>
      <c r="U89" s="52">
        <f t="shared" si="6"/>
        <v>0</v>
      </c>
      <c r="V89" s="52">
        <f t="shared" si="6"/>
        <v>0</v>
      </c>
      <c r="W89" s="52">
        <f t="shared" si="6"/>
        <v>0</v>
      </c>
      <c r="X89" s="52">
        <v>0</v>
      </c>
      <c r="Y89" s="52"/>
      <c r="Z89" s="52"/>
      <c r="AA89" s="52"/>
      <c r="AB89" s="786"/>
      <c r="AC89" s="786"/>
      <c r="AD89" s="266"/>
      <c r="AE89" s="522"/>
    </row>
    <row r="90" spans="7:23" ht="18">
      <c r="G90" s="870"/>
      <c r="H90" s="870"/>
      <c r="I90" s="870"/>
      <c r="J90" s="871"/>
      <c r="K90" s="870"/>
      <c r="L90" s="870"/>
      <c r="M90" s="870"/>
      <c r="N90" s="871"/>
      <c r="O90" s="871"/>
      <c r="P90" s="871"/>
      <c r="W90" s="286"/>
    </row>
    <row r="91" spans="1:23" ht="14.25" hidden="1">
      <c r="A91" s="1606"/>
      <c r="B91" s="1606"/>
      <c r="C91" s="1606"/>
      <c r="D91" s="1606"/>
      <c r="E91" s="1606"/>
      <c r="F91" s="1606"/>
      <c r="G91" s="1606"/>
      <c r="H91" s="1606"/>
      <c r="I91" s="1606"/>
      <c r="J91" s="1606"/>
      <c r="K91" s="1606"/>
      <c r="L91" s="1606"/>
      <c r="M91" s="1606"/>
      <c r="N91" s="1606"/>
      <c r="O91" s="1606"/>
      <c r="P91" s="1606"/>
      <c r="Q91" s="1606"/>
      <c r="R91" s="1606"/>
      <c r="S91" s="1606"/>
      <c r="T91" s="1606"/>
      <c r="U91" s="1606"/>
      <c r="V91" s="1606"/>
      <c r="W91" s="1606"/>
    </row>
    <row r="92" spans="1:16" ht="18.75" hidden="1" thickBot="1">
      <c r="A92" s="852"/>
      <c r="E92" s="369"/>
      <c r="F92" s="369"/>
      <c r="G92" s="369"/>
      <c r="H92" s="369"/>
      <c r="O92" s="793"/>
      <c r="P92" s="793"/>
    </row>
    <row r="93" spans="1:30" ht="15.75" hidden="1">
      <c r="A93" s="1594"/>
      <c r="B93" s="1596"/>
      <c r="C93" s="1597"/>
      <c r="D93" s="1597"/>
      <c r="E93" s="1597"/>
      <c r="F93" s="1597"/>
      <c r="G93" s="1597"/>
      <c r="H93" s="1597"/>
      <c r="I93" s="1597"/>
      <c r="J93" s="1597"/>
      <c r="K93" s="1597"/>
      <c r="L93" s="1597"/>
      <c r="M93" s="1597"/>
      <c r="N93" s="1597"/>
      <c r="O93" s="1597"/>
      <c r="P93" s="1597"/>
      <c r="Q93" s="1597"/>
      <c r="R93" s="1598"/>
      <c r="S93" s="1599"/>
      <c r="T93" s="1599"/>
      <c r="U93" s="1599"/>
      <c r="V93" s="1599"/>
      <c r="W93" s="1599"/>
      <c r="X93" s="1599"/>
      <c r="Y93" s="1599"/>
      <c r="Z93" s="1599"/>
      <c r="AA93" s="1599"/>
      <c r="AB93" s="1596"/>
      <c r="AC93" s="1596"/>
      <c r="AD93" s="1600"/>
    </row>
    <row r="94" spans="1:30" ht="15.75" hidden="1">
      <c r="A94" s="1595"/>
      <c r="B94" s="1601"/>
      <c r="C94" s="1602"/>
      <c r="D94" s="1602"/>
      <c r="E94" s="1602"/>
      <c r="F94" s="1602"/>
      <c r="G94" s="1602"/>
      <c r="H94" s="1602"/>
      <c r="I94" s="1603"/>
      <c r="J94" s="1601"/>
      <c r="K94" s="1602"/>
      <c r="L94" s="1602"/>
      <c r="M94" s="1602"/>
      <c r="N94" s="1602"/>
      <c r="O94" s="1602"/>
      <c r="P94" s="1602"/>
      <c r="Q94" s="1602"/>
      <c r="R94" s="1604"/>
      <c r="S94" s="1605"/>
      <c r="T94" s="1605"/>
      <c r="U94" s="1605"/>
      <c r="V94" s="1605"/>
      <c r="W94" s="1605"/>
      <c r="X94" s="1605"/>
      <c r="Y94" s="1605"/>
      <c r="Z94" s="1605"/>
      <c r="AA94" s="1605"/>
      <c r="AB94" s="1601"/>
      <c r="AC94" s="1601"/>
      <c r="AD94" s="1607"/>
    </row>
    <row r="95" spans="1:30" ht="15.75" hidden="1">
      <c r="A95" s="299"/>
      <c r="B95" s="300"/>
      <c r="C95" s="300"/>
      <c r="D95" s="524"/>
      <c r="E95" s="300"/>
      <c r="F95" s="300"/>
      <c r="G95" s="300"/>
      <c r="H95" s="300"/>
      <c r="I95" s="300"/>
      <c r="J95" s="300"/>
      <c r="K95" s="763"/>
      <c r="L95" s="768"/>
      <c r="M95" s="769"/>
      <c r="N95" s="300"/>
      <c r="O95" s="787"/>
      <c r="P95" s="787"/>
      <c r="Q95" s="769"/>
      <c r="R95" s="764"/>
      <c r="S95" s="300"/>
      <c r="T95" s="524"/>
      <c r="U95" s="300"/>
      <c r="V95" s="300"/>
      <c r="W95" s="300"/>
      <c r="X95" s="300"/>
      <c r="Y95" s="524"/>
      <c r="Z95" s="300"/>
      <c r="AA95" s="300"/>
      <c r="AB95" s="787"/>
      <c r="AC95" s="787"/>
      <c r="AD95" s="300"/>
    </row>
    <row r="96" spans="1:30" ht="18" hidden="1">
      <c r="A96" s="43"/>
      <c r="B96" s="50"/>
      <c r="C96" s="50"/>
      <c r="D96" s="50"/>
      <c r="E96" s="50"/>
      <c r="F96" s="50"/>
      <c r="G96" s="50"/>
      <c r="H96" s="372"/>
      <c r="I96" s="712"/>
      <c r="J96" s="50"/>
      <c r="K96" s="50"/>
      <c r="L96" s="50"/>
      <c r="M96" s="50"/>
      <c r="N96" s="372"/>
      <c r="O96" s="372"/>
      <c r="P96" s="372"/>
      <c r="Q96" s="372"/>
      <c r="R96" s="375"/>
      <c r="S96" s="47"/>
      <c r="T96" s="47"/>
      <c r="U96" s="47"/>
      <c r="V96" s="47"/>
      <c r="W96" s="50"/>
      <c r="X96" s="50"/>
      <c r="Y96" s="50"/>
      <c r="Z96" s="50"/>
      <c r="AA96" s="50"/>
      <c r="AB96" s="371"/>
      <c r="AC96" s="371"/>
      <c r="AD96" s="68"/>
    </row>
    <row r="97" spans="1:30" ht="18" hidden="1">
      <c r="A97" s="43"/>
      <c r="B97" s="69"/>
      <c r="C97" s="69"/>
      <c r="D97" s="69"/>
      <c r="E97" s="69"/>
      <c r="F97" s="69"/>
      <c r="G97" s="69"/>
      <c r="H97" s="376"/>
      <c r="I97" s="712"/>
      <c r="J97" s="69"/>
      <c r="K97" s="69"/>
      <c r="L97" s="69"/>
      <c r="M97" s="69"/>
      <c r="N97" s="376"/>
      <c r="O97" s="376"/>
      <c r="P97" s="376"/>
      <c r="Q97" s="376"/>
      <c r="R97" s="375"/>
      <c r="S97" s="47"/>
      <c r="T97" s="47"/>
      <c r="U97" s="47"/>
      <c r="V97" s="47"/>
      <c r="W97" s="50"/>
      <c r="X97" s="50"/>
      <c r="Y97" s="50"/>
      <c r="Z97" s="50"/>
      <c r="AA97" s="47"/>
      <c r="AB97" s="371"/>
      <c r="AC97" s="371"/>
      <c r="AD97" s="68"/>
    </row>
    <row r="98" spans="1:30" ht="18" hidden="1">
      <c r="A98" s="70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376"/>
      <c r="Q98" s="712"/>
      <c r="R98" s="375"/>
      <c r="S98" s="47"/>
      <c r="T98" s="47"/>
      <c r="U98" s="47"/>
      <c r="V98" s="47"/>
      <c r="W98" s="50"/>
      <c r="X98" s="50"/>
      <c r="Y98" s="50"/>
      <c r="Z98" s="50"/>
      <c r="AA98" s="47"/>
      <c r="AB98" s="371"/>
      <c r="AC98" s="371"/>
      <c r="AD98" s="68"/>
    </row>
    <row r="99" spans="1:30" ht="18" hidden="1">
      <c r="A99" s="70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376"/>
      <c r="Q99" s="712"/>
      <c r="R99" s="375"/>
      <c r="S99" s="47"/>
      <c r="T99" s="47"/>
      <c r="U99" s="47"/>
      <c r="V99" s="47"/>
      <c r="W99" s="50"/>
      <c r="X99" s="50"/>
      <c r="Y99" s="50"/>
      <c r="Z99" s="50"/>
      <c r="AA99" s="47"/>
      <c r="AB99" s="371"/>
      <c r="AC99" s="371"/>
      <c r="AD99" s="68"/>
    </row>
    <row r="100" spans="1:30" ht="18" hidden="1">
      <c r="A100" s="70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376"/>
      <c r="Q100" s="712"/>
      <c r="R100" s="375"/>
      <c r="S100" s="47"/>
      <c r="T100" s="47"/>
      <c r="U100" s="47"/>
      <c r="V100" s="47"/>
      <c r="W100" s="50"/>
      <c r="X100" s="50"/>
      <c r="Y100" s="50"/>
      <c r="Z100" s="50"/>
      <c r="AA100" s="47"/>
      <c r="AB100" s="371"/>
      <c r="AC100" s="371"/>
      <c r="AD100" s="68"/>
    </row>
    <row r="101" spans="1:30" ht="18" hidden="1">
      <c r="A101" s="7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376"/>
      <c r="Q101" s="712"/>
      <c r="R101" s="375"/>
      <c r="S101" s="47"/>
      <c r="T101" s="47"/>
      <c r="U101" s="47"/>
      <c r="V101" s="47"/>
      <c r="W101" s="50"/>
      <c r="X101" s="50"/>
      <c r="Y101" s="50"/>
      <c r="Z101" s="50"/>
      <c r="AA101" s="47"/>
      <c r="AB101" s="371"/>
      <c r="AC101" s="371"/>
      <c r="AD101" s="68"/>
    </row>
    <row r="102" spans="1:30" ht="18" hidden="1">
      <c r="A102" s="70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376"/>
      <c r="Q102" s="712"/>
      <c r="R102" s="375"/>
      <c r="S102" s="47"/>
      <c r="T102" s="47"/>
      <c r="U102" s="47"/>
      <c r="V102" s="47"/>
      <c r="W102" s="50"/>
      <c r="X102" s="50"/>
      <c r="Y102" s="50"/>
      <c r="Z102" s="50"/>
      <c r="AA102" s="47"/>
      <c r="AB102" s="371"/>
      <c r="AC102" s="371"/>
      <c r="AD102" s="68"/>
    </row>
    <row r="103" spans="1:30" ht="18" hidden="1">
      <c r="A103" s="70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376"/>
      <c r="Q103" s="712"/>
      <c r="R103" s="375"/>
      <c r="S103" s="47"/>
      <c r="T103" s="47"/>
      <c r="U103" s="47"/>
      <c r="V103" s="47"/>
      <c r="W103" s="50"/>
      <c r="X103" s="50"/>
      <c r="Y103" s="50"/>
      <c r="Z103" s="50"/>
      <c r="AA103" s="47"/>
      <c r="AB103" s="371"/>
      <c r="AC103" s="371"/>
      <c r="AD103" s="68"/>
    </row>
    <row r="104" spans="1:30" ht="18" hidden="1">
      <c r="A104" s="70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376"/>
      <c r="Q104" s="712"/>
      <c r="R104" s="375"/>
      <c r="S104" s="47"/>
      <c r="T104" s="47"/>
      <c r="U104" s="47"/>
      <c r="V104" s="47"/>
      <c r="W104" s="50"/>
      <c r="X104" s="50"/>
      <c r="Y104" s="50"/>
      <c r="Z104" s="50"/>
      <c r="AA104" s="47"/>
      <c r="AB104" s="371"/>
      <c r="AC104" s="371"/>
      <c r="AD104" s="68"/>
    </row>
    <row r="105" spans="1:30" ht="18" hidden="1">
      <c r="A105" s="70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376"/>
      <c r="Q105" s="712"/>
      <c r="R105" s="375"/>
      <c r="S105" s="47"/>
      <c r="T105" s="47"/>
      <c r="U105" s="47"/>
      <c r="V105" s="47"/>
      <c r="W105" s="50"/>
      <c r="X105" s="50"/>
      <c r="Y105" s="50"/>
      <c r="Z105" s="50"/>
      <c r="AA105" s="47"/>
      <c r="AB105" s="371"/>
      <c r="AC105" s="371"/>
      <c r="AD105" s="68"/>
    </row>
    <row r="106" spans="1:30" ht="18" hidden="1">
      <c r="A106" s="70"/>
      <c r="B106" s="69"/>
      <c r="C106" s="69"/>
      <c r="D106" s="69"/>
      <c r="E106" s="69"/>
      <c r="F106" s="69"/>
      <c r="G106" s="69"/>
      <c r="H106" s="376"/>
      <c r="I106" s="712"/>
      <c r="J106" s="69"/>
      <c r="K106" s="69"/>
      <c r="L106" s="69"/>
      <c r="M106" s="69"/>
      <c r="N106" s="69"/>
      <c r="O106" s="69"/>
      <c r="P106" s="376"/>
      <c r="Q106" s="376"/>
      <c r="R106" s="375"/>
      <c r="S106" s="47"/>
      <c r="T106" s="47"/>
      <c r="U106" s="47"/>
      <c r="V106" s="47"/>
      <c r="W106" s="50"/>
      <c r="X106" s="50"/>
      <c r="Y106" s="50"/>
      <c r="Z106" s="50"/>
      <c r="AA106" s="47"/>
      <c r="AB106" s="371"/>
      <c r="AC106" s="371"/>
      <c r="AD106" s="68"/>
    </row>
    <row r="107" spans="1:30" ht="18" hidden="1">
      <c r="A107" s="70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376"/>
      <c r="Q107" s="376"/>
      <c r="R107" s="375"/>
      <c r="S107" s="47"/>
      <c r="T107" s="47"/>
      <c r="U107" s="47"/>
      <c r="V107" s="47"/>
      <c r="W107" s="50"/>
      <c r="X107" s="50"/>
      <c r="Y107" s="50"/>
      <c r="Z107" s="50"/>
      <c r="AA107" s="47"/>
      <c r="AB107" s="371"/>
      <c r="AC107" s="371"/>
      <c r="AD107" s="68"/>
    </row>
    <row r="108" spans="1:30" ht="18" hidden="1">
      <c r="A108" s="70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376"/>
      <c r="Q108" s="376"/>
      <c r="R108" s="375"/>
      <c r="S108" s="47"/>
      <c r="T108" s="47"/>
      <c r="U108" s="47"/>
      <c r="V108" s="47"/>
      <c r="W108" s="50"/>
      <c r="X108" s="50"/>
      <c r="Y108" s="50"/>
      <c r="Z108" s="50"/>
      <c r="AA108" s="47"/>
      <c r="AB108" s="371"/>
      <c r="AC108" s="371"/>
      <c r="AD108" s="68"/>
    </row>
    <row r="109" spans="1:30" ht="18" hidden="1">
      <c r="A109" s="70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376"/>
      <c r="Q109" s="376"/>
      <c r="R109" s="375"/>
      <c r="S109" s="47"/>
      <c r="T109" s="47"/>
      <c r="U109" s="47"/>
      <c r="V109" s="47"/>
      <c r="W109" s="50"/>
      <c r="X109" s="50"/>
      <c r="Y109" s="50"/>
      <c r="Z109" s="50"/>
      <c r="AA109" s="47"/>
      <c r="AB109" s="371"/>
      <c r="AC109" s="371"/>
      <c r="AD109" s="68"/>
    </row>
    <row r="110" spans="1:30" ht="18" hidden="1">
      <c r="A110" s="243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376"/>
      <c r="Q110" s="376"/>
      <c r="R110" s="375"/>
      <c r="S110" s="47"/>
      <c r="T110" s="47"/>
      <c r="U110" s="47"/>
      <c r="V110" s="47"/>
      <c r="W110" s="50"/>
      <c r="X110" s="50"/>
      <c r="Y110" s="50"/>
      <c r="Z110" s="50"/>
      <c r="AA110" s="47"/>
      <c r="AB110" s="371"/>
      <c r="AC110" s="371"/>
      <c r="AD110" s="68"/>
    </row>
    <row r="111" spans="1:30" ht="18" hidden="1">
      <c r="A111" s="243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376"/>
      <c r="Q111" s="376"/>
      <c r="R111" s="375"/>
      <c r="S111" s="47"/>
      <c r="T111" s="47"/>
      <c r="U111" s="47"/>
      <c r="V111" s="47"/>
      <c r="W111" s="50"/>
      <c r="X111" s="50"/>
      <c r="Y111" s="50"/>
      <c r="Z111" s="50"/>
      <c r="AA111" s="47"/>
      <c r="AB111" s="371"/>
      <c r="AC111" s="371"/>
      <c r="AD111" s="68"/>
    </row>
    <row r="112" spans="1:30" ht="18" hidden="1">
      <c r="A112" s="243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376"/>
      <c r="Q112" s="376"/>
      <c r="R112" s="375"/>
      <c r="S112" s="47"/>
      <c r="T112" s="47"/>
      <c r="U112" s="47"/>
      <c r="V112" s="47"/>
      <c r="W112" s="50"/>
      <c r="X112" s="50"/>
      <c r="Y112" s="50"/>
      <c r="Z112" s="50"/>
      <c r="AA112" s="47"/>
      <c r="AB112" s="371"/>
      <c r="AC112" s="371"/>
      <c r="AD112" s="68"/>
    </row>
    <row r="113" spans="1:30" ht="18" hidden="1">
      <c r="A113" s="243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376"/>
      <c r="Q113" s="376"/>
      <c r="R113" s="375"/>
      <c r="S113" s="47"/>
      <c r="T113" s="47"/>
      <c r="U113" s="47"/>
      <c r="V113" s="47"/>
      <c r="W113" s="50"/>
      <c r="X113" s="50"/>
      <c r="Y113" s="50"/>
      <c r="Z113" s="50"/>
      <c r="AA113" s="47"/>
      <c r="AB113" s="371"/>
      <c r="AC113" s="371"/>
      <c r="AD113" s="68"/>
    </row>
    <row r="114" spans="1:30" ht="18" hidden="1">
      <c r="A114" s="243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376"/>
      <c r="Q114" s="376"/>
      <c r="R114" s="375"/>
      <c r="S114" s="47"/>
      <c r="T114" s="47"/>
      <c r="U114" s="47"/>
      <c r="V114" s="47"/>
      <c r="W114" s="50"/>
      <c r="X114" s="50"/>
      <c r="Y114" s="50"/>
      <c r="Z114" s="50"/>
      <c r="AA114" s="47"/>
      <c r="AB114" s="371"/>
      <c r="AC114" s="371"/>
      <c r="AD114" s="68"/>
    </row>
    <row r="115" spans="1:30" ht="18" hidden="1">
      <c r="A115" s="243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376"/>
      <c r="Q115" s="376"/>
      <c r="R115" s="375"/>
      <c r="S115" s="47"/>
      <c r="T115" s="47"/>
      <c r="U115" s="47"/>
      <c r="V115" s="47"/>
      <c r="W115" s="50"/>
      <c r="X115" s="50"/>
      <c r="Y115" s="50"/>
      <c r="Z115" s="50"/>
      <c r="AA115" s="47"/>
      <c r="AB115" s="371"/>
      <c r="AC115" s="371"/>
      <c r="AD115" s="68"/>
    </row>
    <row r="116" spans="1:30" ht="18.75" hidden="1" thickBot="1">
      <c r="A116" s="46"/>
      <c r="B116" s="52"/>
      <c r="C116" s="52"/>
      <c r="D116" s="52"/>
      <c r="E116" s="52"/>
      <c r="F116" s="52"/>
      <c r="G116" s="52"/>
      <c r="H116" s="786"/>
      <c r="I116" s="717"/>
      <c r="J116" s="716"/>
      <c r="K116" s="716"/>
      <c r="L116" s="716"/>
      <c r="M116" s="716"/>
      <c r="N116" s="716"/>
      <c r="O116" s="716"/>
      <c r="P116" s="716"/>
      <c r="Q116" s="717"/>
      <c r="R116" s="715"/>
      <c r="S116" s="52"/>
      <c r="T116" s="52"/>
      <c r="U116" s="52"/>
      <c r="V116" s="52"/>
      <c r="W116" s="52"/>
      <c r="X116" s="52"/>
      <c r="Y116" s="52"/>
      <c r="Z116" s="716"/>
      <c r="AA116" s="716"/>
      <c r="AB116" s="716"/>
      <c r="AC116" s="716"/>
      <c r="AD116" s="266"/>
    </row>
    <row r="117" spans="8:14" ht="12.75">
      <c r="H117" s="369"/>
      <c r="J117" s="369"/>
      <c r="L117" s="369"/>
      <c r="N117" s="369"/>
    </row>
    <row r="118" spans="7:14" ht="12.75">
      <c r="G118" s="369"/>
      <c r="H118" s="369"/>
      <c r="L118" s="369"/>
      <c r="N118" s="369"/>
    </row>
    <row r="119" spans="3:12" ht="12.75">
      <c r="C119" s="369"/>
      <c r="G119" s="369"/>
      <c r="H119" s="369"/>
      <c r="L119" s="369"/>
    </row>
    <row r="120" spans="7:8" ht="12.75">
      <c r="G120" s="369"/>
      <c r="H120" s="369"/>
    </row>
  </sheetData>
  <sheetProtection/>
  <mergeCells count="27">
    <mergeCell ref="R1:AA1"/>
    <mergeCell ref="A91:W91"/>
    <mergeCell ref="A93:A94"/>
    <mergeCell ref="B93:Q93"/>
    <mergeCell ref="R93:AD93"/>
    <mergeCell ref="B94:I94"/>
    <mergeCell ref="J94:Q94"/>
    <mergeCell ref="R94:V94"/>
    <mergeCell ref="W94:AD94"/>
    <mergeCell ref="W8:AD8"/>
    <mergeCell ref="A62:W62"/>
    <mergeCell ref="A64:A65"/>
    <mergeCell ref="B64:Q64"/>
    <mergeCell ref="R64:AD64"/>
    <mergeCell ref="B65:I65"/>
    <mergeCell ref="J65:Q65"/>
    <mergeCell ref="R65:V65"/>
    <mergeCell ref="W65:AD65"/>
    <mergeCell ref="A2:W2"/>
    <mergeCell ref="A3:W3"/>
    <mergeCell ref="A4:W4"/>
    <mergeCell ref="A7:A8"/>
    <mergeCell ref="B7:Q7"/>
    <mergeCell ref="R7:AD7"/>
    <mergeCell ref="B8:I8"/>
    <mergeCell ref="J8:Q8"/>
    <mergeCell ref="R8:V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2" r:id="rId1"/>
  <headerFooter alignWithMargins="0">
    <oddFooter>&amp;R
</oddFooter>
  </headerFooter>
  <colBreaks count="1" manualBreakCount="1">
    <brk id="31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C1">
      <selection activeCell="D3" sqref="D3"/>
    </sheetView>
  </sheetViews>
  <sheetFormatPr defaultColWidth="9.140625" defaultRowHeight="12.75"/>
  <cols>
    <col min="1" max="1" width="48.28125" style="37" customWidth="1"/>
    <col min="2" max="3" width="14.8515625" style="22" customWidth="1"/>
    <col min="4" max="4" width="20.57421875" style="22" customWidth="1"/>
    <col min="5" max="7" width="14.8515625" style="22" customWidth="1"/>
    <col min="8" max="8" width="20.421875" style="22" customWidth="1"/>
    <col min="9" max="9" width="14.8515625" style="22" customWidth="1"/>
    <col min="10" max="10" width="11.8515625" style="22" hidden="1" customWidth="1"/>
    <col min="11" max="11" width="14.8515625" style="22" hidden="1" customWidth="1"/>
    <col min="12" max="12" width="20.7109375" style="22" hidden="1" customWidth="1"/>
    <col min="13" max="13" width="11.57421875" style="22" customWidth="1"/>
    <col min="14" max="16384" width="9.140625" style="22" customWidth="1"/>
  </cols>
  <sheetData>
    <row r="2" spans="4:13" ht="12.75">
      <c r="D2" s="1615" t="s">
        <v>643</v>
      </c>
      <c r="E2" s="1615"/>
      <c r="F2" s="1615"/>
      <c r="G2" s="1615"/>
      <c r="H2" s="1615"/>
      <c r="I2" s="1615"/>
      <c r="J2" s="1615"/>
      <c r="K2" s="1615"/>
      <c r="L2" s="1615"/>
      <c r="M2" s="1615"/>
    </row>
    <row r="4" spans="1:9" ht="19.5">
      <c r="A4" s="1616" t="s">
        <v>509</v>
      </c>
      <c r="B4" s="1616"/>
      <c r="C4" s="1616"/>
      <c r="D4" s="1616"/>
      <c r="E4" s="1616"/>
      <c r="F4" s="362"/>
      <c r="G4" s="362"/>
      <c r="H4" s="362"/>
      <c r="I4" s="362"/>
    </row>
    <row r="5" spans="1:9" ht="19.5">
      <c r="A5" s="362"/>
      <c r="B5" s="362"/>
      <c r="C5" s="362"/>
      <c r="D5" s="362"/>
      <c r="E5" s="362"/>
      <c r="F5" s="362"/>
      <c r="G5" s="362"/>
      <c r="H5" s="362"/>
      <c r="I5" s="362"/>
    </row>
    <row r="6" spans="2:9" ht="20.25" customHeight="1" thickBot="1">
      <c r="B6" s="1617" t="s">
        <v>5</v>
      </c>
      <c r="C6" s="1617"/>
      <c r="D6" s="1617"/>
      <c r="E6" s="1617"/>
      <c r="F6" s="1617"/>
      <c r="G6" s="1617"/>
      <c r="H6" s="1617"/>
      <c r="I6" s="1617"/>
    </row>
    <row r="7" spans="1:13" ht="36.75" customHeight="1">
      <c r="A7" s="1622" t="s">
        <v>4</v>
      </c>
      <c r="B7" s="1609" t="s">
        <v>510</v>
      </c>
      <c r="C7" s="1610"/>
      <c r="D7" s="1610"/>
      <c r="E7" s="1611"/>
      <c r="F7" s="1618" t="s">
        <v>610</v>
      </c>
      <c r="G7" s="1610"/>
      <c r="H7" s="1610"/>
      <c r="I7" s="1611"/>
      <c r="J7" s="1609" t="s">
        <v>236</v>
      </c>
      <c r="K7" s="1610"/>
      <c r="L7" s="1610"/>
      <c r="M7" s="1611"/>
    </row>
    <row r="8" spans="1:13" ht="41.25" customHeight="1" thickBot="1">
      <c r="A8" s="1623"/>
      <c r="B8" s="24" t="s">
        <v>29</v>
      </c>
      <c r="C8" s="24" t="s">
        <v>203</v>
      </c>
      <c r="D8" s="24" t="s">
        <v>204</v>
      </c>
      <c r="E8" s="25" t="s">
        <v>1</v>
      </c>
      <c r="F8" s="508" t="s">
        <v>29</v>
      </c>
      <c r="G8" s="24" t="s">
        <v>203</v>
      </c>
      <c r="H8" s="24" t="s">
        <v>204</v>
      </c>
      <c r="I8" s="25" t="s">
        <v>1</v>
      </c>
      <c r="J8" s="24" t="s">
        <v>29</v>
      </c>
      <c r="K8" s="24" t="s">
        <v>203</v>
      </c>
      <c r="L8" s="24" t="s">
        <v>204</v>
      </c>
      <c r="M8" s="25" t="s">
        <v>1</v>
      </c>
    </row>
    <row r="9" spans="1:13" ht="30" customHeight="1">
      <c r="A9" s="23" t="s">
        <v>212</v>
      </c>
      <c r="B9" s="129">
        <v>17</v>
      </c>
      <c r="C9" s="129">
        <v>1</v>
      </c>
      <c r="D9" s="130">
        <v>1</v>
      </c>
      <c r="E9" s="288">
        <f>SUM(B9:C9)</f>
        <v>18</v>
      </c>
      <c r="F9" s="129">
        <v>16</v>
      </c>
      <c r="G9" s="129">
        <v>1</v>
      </c>
      <c r="H9" s="130">
        <v>1</v>
      </c>
      <c r="I9" s="288">
        <f>SUM(F9:G9)</f>
        <v>17</v>
      </c>
      <c r="J9" s="129"/>
      <c r="K9" s="129"/>
      <c r="L9" s="130"/>
      <c r="M9" s="849">
        <v>17</v>
      </c>
    </row>
    <row r="10" spans="1:13" ht="30" customHeight="1">
      <c r="A10" s="23" t="s">
        <v>213</v>
      </c>
      <c r="B10" s="129">
        <v>3</v>
      </c>
      <c r="C10" s="129">
        <v>4.5</v>
      </c>
      <c r="D10" s="129">
        <v>0</v>
      </c>
      <c r="E10" s="288">
        <f>SUM(B10:C10)</f>
        <v>7.5</v>
      </c>
      <c r="F10" s="129">
        <v>3</v>
      </c>
      <c r="G10" s="129">
        <v>3.5</v>
      </c>
      <c r="H10" s="129">
        <v>0</v>
      </c>
      <c r="I10" s="288">
        <f>SUM(F10:G10)</f>
        <v>6.5</v>
      </c>
      <c r="J10" s="129"/>
      <c r="K10" s="129"/>
      <c r="L10" s="129"/>
      <c r="M10" s="849">
        <v>7</v>
      </c>
    </row>
    <row r="11" spans="1:13" ht="30" customHeight="1" thickBot="1">
      <c r="A11" s="128" t="s">
        <v>214</v>
      </c>
      <c r="B11" s="131">
        <v>14</v>
      </c>
      <c r="C11" s="131">
        <v>8</v>
      </c>
      <c r="D11" s="131">
        <v>3</v>
      </c>
      <c r="E11" s="288">
        <f>SUM(B11:C11)</f>
        <v>22</v>
      </c>
      <c r="F11" s="131">
        <v>14</v>
      </c>
      <c r="G11" s="131">
        <v>8</v>
      </c>
      <c r="H11" s="131">
        <v>3</v>
      </c>
      <c r="I11" s="288">
        <f>SUM(F11:G11)</f>
        <v>22</v>
      </c>
      <c r="J11" s="131"/>
      <c r="K11" s="131"/>
      <c r="L11" s="131"/>
      <c r="M11" s="849">
        <v>22</v>
      </c>
    </row>
    <row r="12" spans="1:13" ht="54.75" customHeight="1" thickBot="1">
      <c r="A12" s="127" t="s">
        <v>25</v>
      </c>
      <c r="B12" s="248">
        <f aca="true" t="shared" si="0" ref="B12:M12">SUM(B9:B11)</f>
        <v>34</v>
      </c>
      <c r="C12" s="248">
        <f t="shared" si="0"/>
        <v>13.5</v>
      </c>
      <c r="D12" s="248">
        <f t="shared" si="0"/>
        <v>4</v>
      </c>
      <c r="E12" s="289">
        <f t="shared" si="0"/>
        <v>47.5</v>
      </c>
      <c r="F12" s="248">
        <f t="shared" si="0"/>
        <v>33</v>
      </c>
      <c r="G12" s="248">
        <f t="shared" si="0"/>
        <v>12.5</v>
      </c>
      <c r="H12" s="248">
        <f t="shared" si="0"/>
        <v>4</v>
      </c>
      <c r="I12" s="289">
        <f t="shared" si="0"/>
        <v>45.5</v>
      </c>
      <c r="J12" s="248">
        <f t="shared" si="0"/>
        <v>0</v>
      </c>
      <c r="K12" s="248">
        <f t="shared" si="0"/>
        <v>0</v>
      </c>
      <c r="L12" s="248">
        <f t="shared" si="0"/>
        <v>0</v>
      </c>
      <c r="M12" s="850">
        <f t="shared" si="0"/>
        <v>46</v>
      </c>
    </row>
    <row r="13" ht="13.5" thickBot="1"/>
    <row r="14" spans="1:13" ht="30.75" customHeight="1" thickBot="1">
      <c r="A14" s="1619" t="s">
        <v>52</v>
      </c>
      <c r="B14" s="1620"/>
      <c r="C14" s="1620"/>
      <c r="D14" s="1621"/>
      <c r="E14" s="290">
        <v>11</v>
      </c>
      <c r="F14" s="1612"/>
      <c r="G14" s="1613"/>
      <c r="H14" s="1614"/>
      <c r="I14" s="290">
        <v>11</v>
      </c>
      <c r="J14" s="1612"/>
      <c r="K14" s="1613"/>
      <c r="L14" s="1614"/>
      <c r="M14" s="290">
        <v>8</v>
      </c>
    </row>
    <row r="16" ht="12.75">
      <c r="A16" s="37" t="s">
        <v>106</v>
      </c>
    </row>
    <row r="18" spans="5:9" ht="12.75">
      <c r="E18" s="287"/>
      <c r="F18" s="287"/>
      <c r="G18" s="287"/>
      <c r="H18" s="287"/>
      <c r="I18" s="287"/>
    </row>
  </sheetData>
  <sheetProtection/>
  <mergeCells count="10">
    <mergeCell ref="J7:M7"/>
    <mergeCell ref="J14:L14"/>
    <mergeCell ref="D2:M2"/>
    <mergeCell ref="B7:E7"/>
    <mergeCell ref="A4:E4"/>
    <mergeCell ref="B6:I6"/>
    <mergeCell ref="F7:I7"/>
    <mergeCell ref="A14:D14"/>
    <mergeCell ref="F14:H14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1.00390625" style="1306" customWidth="1"/>
    <col min="2" max="2" width="15.57421875" style="1306" bestFit="1" customWidth="1"/>
    <col min="3" max="3" width="15.00390625" style="1306" bestFit="1" customWidth="1"/>
    <col min="4" max="4" width="18.00390625" style="1306" customWidth="1"/>
    <col min="5" max="5" width="11.140625" style="1306" bestFit="1" customWidth="1"/>
    <col min="6" max="16384" width="9.140625" style="1306" customWidth="1"/>
  </cols>
  <sheetData>
    <row r="1" spans="1:5" ht="12.75">
      <c r="A1" s="1624" t="s">
        <v>400</v>
      </c>
      <c r="B1" s="1624"/>
      <c r="C1" s="1624"/>
      <c r="D1" s="1624"/>
      <c r="E1" s="1624"/>
    </row>
    <row r="3" spans="1:5" ht="12.75">
      <c r="A3" s="1625" t="s">
        <v>733</v>
      </c>
      <c r="B3" s="1625"/>
      <c r="C3" s="1625"/>
      <c r="D3" s="1625"/>
      <c r="E3" s="1625"/>
    </row>
    <row r="5" spans="1:5" ht="12.75">
      <c r="A5" s="1626" t="s">
        <v>488</v>
      </c>
      <c r="B5" s="1626"/>
      <c r="C5" s="1626"/>
      <c r="D5" s="1626"/>
      <c r="E5" s="1626"/>
    </row>
    <row r="6" spans="1:5" ht="38.25">
      <c r="A6" s="1307" t="s">
        <v>4</v>
      </c>
      <c r="B6" s="1307" t="s">
        <v>213</v>
      </c>
      <c r="C6" s="1307" t="s">
        <v>734</v>
      </c>
      <c r="D6" s="1307" t="s">
        <v>214</v>
      </c>
      <c r="E6" s="1307" t="s">
        <v>1</v>
      </c>
    </row>
    <row r="7" spans="1:5" ht="12.75">
      <c r="A7" s="1308" t="s">
        <v>735</v>
      </c>
      <c r="B7" s="1310">
        <v>723066549</v>
      </c>
      <c r="C7" s="1310">
        <v>70171</v>
      </c>
      <c r="D7" s="1310">
        <v>32670536</v>
      </c>
      <c r="E7" s="1309">
        <f>SUM(B7:D7)</f>
        <v>755807256</v>
      </c>
    </row>
    <row r="8" spans="1:5" ht="12.75">
      <c r="A8" s="1308" t="s">
        <v>736</v>
      </c>
      <c r="B8" s="1310">
        <v>338662890</v>
      </c>
      <c r="C8" s="1310">
        <v>86329974</v>
      </c>
      <c r="D8" s="1310">
        <v>122931437</v>
      </c>
      <c r="E8" s="1309">
        <f aca="true" t="shared" si="0" ref="E8:E16">SUM(B8:D8)</f>
        <v>547924301</v>
      </c>
    </row>
    <row r="9" spans="1:5" ht="12.75">
      <c r="A9" s="1311" t="s">
        <v>737</v>
      </c>
      <c r="B9" s="1313">
        <v>384403659</v>
      </c>
      <c r="C9" s="1313">
        <v>-86259803</v>
      </c>
      <c r="D9" s="1313">
        <v>-90260901</v>
      </c>
      <c r="E9" s="1312">
        <f t="shared" si="0"/>
        <v>207882955</v>
      </c>
    </row>
    <row r="10" spans="1:5" ht="12.75">
      <c r="A10" s="1308" t="s">
        <v>738</v>
      </c>
      <c r="B10" s="1310">
        <v>153960393</v>
      </c>
      <c r="C10" s="1310">
        <v>87246993</v>
      </c>
      <c r="D10" s="1310">
        <v>91400672</v>
      </c>
      <c r="E10" s="1309">
        <f t="shared" si="0"/>
        <v>332608058</v>
      </c>
    </row>
    <row r="11" spans="1:5" ht="12.75">
      <c r="A11" s="1308" t="s">
        <v>739</v>
      </c>
      <c r="B11" s="1310">
        <v>217015617</v>
      </c>
      <c r="C11" s="1310">
        <v>0</v>
      </c>
      <c r="D11" s="1310">
        <v>0</v>
      </c>
      <c r="E11" s="1309">
        <f t="shared" si="0"/>
        <v>217015617</v>
      </c>
    </row>
    <row r="12" spans="1:5" ht="12.75">
      <c r="A12" s="1311" t="s">
        <v>740</v>
      </c>
      <c r="B12" s="1313">
        <v>-63055224</v>
      </c>
      <c r="C12" s="1313">
        <v>87246993</v>
      </c>
      <c r="D12" s="1313">
        <v>91400672</v>
      </c>
      <c r="E12" s="1312">
        <f t="shared" si="0"/>
        <v>115592441</v>
      </c>
    </row>
    <row r="13" spans="1:5" ht="12.75">
      <c r="A13" s="1311" t="s">
        <v>741</v>
      </c>
      <c r="B13" s="1313">
        <v>321348435</v>
      </c>
      <c r="C13" s="1313">
        <v>987190</v>
      </c>
      <c r="D13" s="1313">
        <v>1139771</v>
      </c>
      <c r="E13" s="1312">
        <f t="shared" si="0"/>
        <v>323475396</v>
      </c>
    </row>
    <row r="14" spans="1:5" ht="12.75">
      <c r="A14" s="1311" t="s">
        <v>742</v>
      </c>
      <c r="B14" s="1313">
        <v>321348435</v>
      </c>
      <c r="C14" s="1313">
        <v>987190</v>
      </c>
      <c r="D14" s="1313">
        <v>1139771</v>
      </c>
      <c r="E14" s="1312">
        <f t="shared" si="0"/>
        <v>323475396</v>
      </c>
    </row>
    <row r="15" spans="1:5" ht="25.5">
      <c r="A15" s="1311" t="s">
        <v>743</v>
      </c>
      <c r="B15" s="1313">
        <v>0</v>
      </c>
      <c r="C15" s="1313">
        <v>0</v>
      </c>
      <c r="D15" s="1313">
        <v>0</v>
      </c>
      <c r="E15" s="1312">
        <f t="shared" si="0"/>
        <v>0</v>
      </c>
    </row>
    <row r="16" spans="1:5" ht="12.75">
      <c r="A16" s="1311" t="s">
        <v>744</v>
      </c>
      <c r="B16" s="1313">
        <v>321348435</v>
      </c>
      <c r="C16" s="1313">
        <v>987190</v>
      </c>
      <c r="D16" s="1313">
        <v>1139771</v>
      </c>
      <c r="E16" s="1312">
        <f t="shared" si="0"/>
        <v>323475396</v>
      </c>
    </row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-2b-38-661d3d-42-68-14-6a254b-2d-43a155c-5b-38-2f18&amp;C&amp;R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1">
      <pane ySplit="8" topLeftCell="A179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8.140625" style="1306" hidden="1" customWidth="1"/>
    <col min="2" max="2" width="41.00390625" style="1306" customWidth="1"/>
    <col min="3" max="3" width="14.421875" style="1306" customWidth="1"/>
    <col min="4" max="4" width="14.8515625" style="1306" customWidth="1"/>
    <col min="5" max="5" width="12.7109375" style="1306" customWidth="1"/>
    <col min="6" max="6" width="12.57421875" style="1306" customWidth="1"/>
    <col min="7" max="7" width="13.421875" style="1306" customWidth="1"/>
    <col min="8" max="8" width="13.140625" style="1306" customWidth="1"/>
    <col min="9" max="9" width="14.8515625" style="1306" customWidth="1"/>
    <col min="10" max="10" width="13.28125" style="1306" customWidth="1"/>
    <col min="11" max="16384" width="9.140625" style="1306" customWidth="1"/>
  </cols>
  <sheetData>
    <row r="1" spans="1:9" ht="12.75" customHeight="1">
      <c r="A1" s="1624" t="s">
        <v>1258</v>
      </c>
      <c r="B1" s="1624"/>
      <c r="C1" s="1624"/>
      <c r="D1" s="1624"/>
      <c r="E1" s="1624"/>
      <c r="F1" s="1624"/>
      <c r="G1" s="1624"/>
      <c r="H1" s="1624"/>
      <c r="I1" s="1624"/>
    </row>
    <row r="2" spans="1:9" ht="12.75">
      <c r="A2" s="1625" t="s">
        <v>1259</v>
      </c>
      <c r="B2" s="1625"/>
      <c r="C2" s="1625"/>
      <c r="D2" s="1625"/>
      <c r="E2" s="1625"/>
      <c r="F2" s="1625"/>
      <c r="G2" s="1625"/>
      <c r="H2" s="1625"/>
      <c r="I2" s="1625"/>
    </row>
    <row r="3" spans="1:9" ht="12.75">
      <c r="A3" s="1625" t="s">
        <v>1260</v>
      </c>
      <c r="B3" s="1625"/>
      <c r="C3" s="1625"/>
      <c r="D3" s="1625"/>
      <c r="E3" s="1625"/>
      <c r="F3" s="1625"/>
      <c r="G3" s="1625"/>
      <c r="H3" s="1625"/>
      <c r="I3" s="1625"/>
    </row>
    <row r="6" spans="1:9" ht="12.75">
      <c r="A6" s="1626" t="s">
        <v>488</v>
      </c>
      <c r="B6" s="1626"/>
      <c r="C6" s="1626"/>
      <c r="D6" s="1626"/>
      <c r="E6" s="1626"/>
      <c r="F6" s="1626"/>
      <c r="G6" s="1626"/>
      <c r="H6" s="1626"/>
      <c r="I6" s="1626"/>
    </row>
    <row r="7" spans="1:10" ht="42" customHeight="1">
      <c r="A7" s="1314"/>
      <c r="B7" s="1317"/>
      <c r="C7" s="1627" t="s">
        <v>213</v>
      </c>
      <c r="D7" s="1627"/>
      <c r="E7" s="1627" t="s">
        <v>1256</v>
      </c>
      <c r="F7" s="1627"/>
      <c r="G7" s="1627" t="s">
        <v>214</v>
      </c>
      <c r="H7" s="1627"/>
      <c r="I7" s="1627" t="s">
        <v>1257</v>
      </c>
      <c r="J7" s="1627"/>
    </row>
    <row r="8" spans="1:10" ht="25.5">
      <c r="A8" s="1314" t="s">
        <v>745</v>
      </c>
      <c r="B8" s="1316" t="s">
        <v>4</v>
      </c>
      <c r="C8" s="1316" t="s">
        <v>746</v>
      </c>
      <c r="D8" s="1316" t="s">
        <v>747</v>
      </c>
      <c r="E8" s="1318" t="s">
        <v>746</v>
      </c>
      <c r="F8" s="1318" t="s">
        <v>747</v>
      </c>
      <c r="G8" s="1318" t="s">
        <v>746</v>
      </c>
      <c r="H8" s="1318" t="s">
        <v>747</v>
      </c>
      <c r="I8" s="1316" t="s">
        <v>746</v>
      </c>
      <c r="J8" s="1316" t="s">
        <v>747</v>
      </c>
    </row>
    <row r="9" spans="1:10" ht="12.75">
      <c r="A9" s="1314" t="s">
        <v>748</v>
      </c>
      <c r="B9" s="1308" t="s">
        <v>749</v>
      </c>
      <c r="C9" s="1310">
        <v>0</v>
      </c>
      <c r="D9" s="1310">
        <v>0</v>
      </c>
      <c r="E9" s="1319">
        <v>167080</v>
      </c>
      <c r="F9" s="1319">
        <v>0</v>
      </c>
      <c r="G9" s="1319">
        <v>0</v>
      </c>
      <c r="H9" s="1319">
        <v>0</v>
      </c>
      <c r="I9" s="1319">
        <f>+C9+E9+G9</f>
        <v>167080</v>
      </c>
      <c r="J9" s="1319">
        <f>+D9+F9+H9</f>
        <v>0</v>
      </c>
    </row>
    <row r="10" spans="1:10" ht="12.75">
      <c r="A10" s="1314" t="s">
        <v>750</v>
      </c>
      <c r="B10" s="1308" t="s">
        <v>751</v>
      </c>
      <c r="C10" s="1310">
        <v>0</v>
      </c>
      <c r="D10" s="1310">
        <v>2507898</v>
      </c>
      <c r="E10" s="1319">
        <v>0</v>
      </c>
      <c r="F10" s="1319">
        <v>0</v>
      </c>
      <c r="G10" s="1319">
        <v>0</v>
      </c>
      <c r="H10" s="1319">
        <v>0</v>
      </c>
      <c r="I10" s="1319">
        <f aca="true" t="shared" si="0" ref="I10:I73">+C10+E10+G10</f>
        <v>0</v>
      </c>
      <c r="J10" s="1319">
        <f aca="true" t="shared" si="1" ref="J10:J73">+D10+F10+H10</f>
        <v>2507898</v>
      </c>
    </row>
    <row r="11" spans="1:10" ht="12.75">
      <c r="A11" s="1314" t="s">
        <v>752</v>
      </c>
      <c r="B11" s="1308" t="s">
        <v>753</v>
      </c>
      <c r="C11" s="1310">
        <v>0</v>
      </c>
      <c r="D11" s="1310">
        <v>0</v>
      </c>
      <c r="E11" s="1319">
        <v>0</v>
      </c>
      <c r="F11" s="1319">
        <v>0</v>
      </c>
      <c r="G11" s="1319">
        <v>0</v>
      </c>
      <c r="H11" s="1319">
        <v>0</v>
      </c>
      <c r="I11" s="1319">
        <f t="shared" si="0"/>
        <v>0</v>
      </c>
      <c r="J11" s="1319">
        <f t="shared" si="1"/>
        <v>0</v>
      </c>
    </row>
    <row r="12" spans="1:10" ht="12.75">
      <c r="A12" s="1315" t="s">
        <v>754</v>
      </c>
      <c r="B12" s="1311" t="s">
        <v>755</v>
      </c>
      <c r="C12" s="1313">
        <v>0</v>
      </c>
      <c r="D12" s="1313">
        <v>2507898</v>
      </c>
      <c r="E12" s="1320">
        <v>167080</v>
      </c>
      <c r="F12" s="1320">
        <v>0</v>
      </c>
      <c r="G12" s="1320">
        <v>0</v>
      </c>
      <c r="H12" s="1320">
        <v>0</v>
      </c>
      <c r="I12" s="1320">
        <f t="shared" si="0"/>
        <v>167080</v>
      </c>
      <c r="J12" s="1320">
        <f t="shared" si="1"/>
        <v>2507898</v>
      </c>
    </row>
    <row r="13" spans="1:10" ht="25.5">
      <c r="A13" s="1314" t="s">
        <v>756</v>
      </c>
      <c r="B13" s="1308" t="s">
        <v>757</v>
      </c>
      <c r="C13" s="1310">
        <v>695149611</v>
      </c>
      <c r="D13" s="1310">
        <v>822588674</v>
      </c>
      <c r="E13" s="1319">
        <v>0</v>
      </c>
      <c r="F13" s="1319">
        <v>0</v>
      </c>
      <c r="G13" s="1319">
        <v>0</v>
      </c>
      <c r="H13" s="1319">
        <v>0</v>
      </c>
      <c r="I13" s="1319">
        <f t="shared" si="0"/>
        <v>695149611</v>
      </c>
      <c r="J13" s="1319">
        <f t="shared" si="1"/>
        <v>822588674</v>
      </c>
    </row>
    <row r="14" spans="1:10" ht="25.5">
      <c r="A14" s="1314" t="s">
        <v>758</v>
      </c>
      <c r="B14" s="1308" t="s">
        <v>759</v>
      </c>
      <c r="C14" s="1310">
        <v>2629831</v>
      </c>
      <c r="D14" s="1310">
        <v>2407421</v>
      </c>
      <c r="E14" s="1319">
        <v>360954</v>
      </c>
      <c r="F14" s="1319">
        <v>222683</v>
      </c>
      <c r="G14" s="1319">
        <v>1522777</v>
      </c>
      <c r="H14" s="1319">
        <v>1213325</v>
      </c>
      <c r="I14" s="1319">
        <f t="shared" si="0"/>
        <v>4513562</v>
      </c>
      <c r="J14" s="1319">
        <f t="shared" si="1"/>
        <v>3843429</v>
      </c>
    </row>
    <row r="15" spans="1:10" ht="12.75">
      <c r="A15" s="1314" t="s">
        <v>760</v>
      </c>
      <c r="B15" s="1308" t="s">
        <v>761</v>
      </c>
      <c r="C15" s="1310">
        <v>0</v>
      </c>
      <c r="D15" s="1310">
        <v>0</v>
      </c>
      <c r="E15" s="1319">
        <v>0</v>
      </c>
      <c r="F15" s="1319">
        <v>0</v>
      </c>
      <c r="G15" s="1319">
        <v>0</v>
      </c>
      <c r="H15" s="1319">
        <v>0</v>
      </c>
      <c r="I15" s="1319">
        <f t="shared" si="0"/>
        <v>0</v>
      </c>
      <c r="J15" s="1319">
        <f t="shared" si="1"/>
        <v>0</v>
      </c>
    </row>
    <row r="16" spans="1:10" ht="12.75">
      <c r="A16" s="1314" t="s">
        <v>762</v>
      </c>
      <c r="B16" s="1308" t="s">
        <v>763</v>
      </c>
      <c r="C16" s="1310">
        <v>26590015</v>
      </c>
      <c r="D16" s="1310">
        <v>50589772</v>
      </c>
      <c r="E16" s="1319">
        <v>0</v>
      </c>
      <c r="F16" s="1319">
        <v>0</v>
      </c>
      <c r="G16" s="1319">
        <v>0</v>
      </c>
      <c r="H16" s="1319">
        <v>0</v>
      </c>
      <c r="I16" s="1319">
        <f t="shared" si="0"/>
        <v>26590015</v>
      </c>
      <c r="J16" s="1319">
        <f t="shared" si="1"/>
        <v>50589772</v>
      </c>
    </row>
    <row r="17" spans="1:10" ht="12.75">
      <c r="A17" s="1314" t="s">
        <v>764</v>
      </c>
      <c r="B17" s="1308" t="s">
        <v>765</v>
      </c>
      <c r="C17" s="1310">
        <v>0</v>
      </c>
      <c r="D17" s="1310">
        <v>0</v>
      </c>
      <c r="E17" s="1319">
        <v>0</v>
      </c>
      <c r="F17" s="1319">
        <v>0</v>
      </c>
      <c r="G17" s="1319">
        <v>0</v>
      </c>
      <c r="H17" s="1319">
        <v>0</v>
      </c>
      <c r="I17" s="1319">
        <f t="shared" si="0"/>
        <v>0</v>
      </c>
      <c r="J17" s="1319">
        <f t="shared" si="1"/>
        <v>0</v>
      </c>
    </row>
    <row r="18" spans="1:10" ht="12.75">
      <c r="A18" s="1315" t="s">
        <v>766</v>
      </c>
      <c r="B18" s="1311" t="s">
        <v>767</v>
      </c>
      <c r="C18" s="1313">
        <v>724369457</v>
      </c>
      <c r="D18" s="1313">
        <v>875585867</v>
      </c>
      <c r="E18" s="1320">
        <v>360954</v>
      </c>
      <c r="F18" s="1320">
        <v>222683</v>
      </c>
      <c r="G18" s="1320">
        <v>1522777</v>
      </c>
      <c r="H18" s="1320">
        <v>1213325</v>
      </c>
      <c r="I18" s="1320">
        <f t="shared" si="0"/>
        <v>726253188</v>
      </c>
      <c r="J18" s="1320">
        <f t="shared" si="1"/>
        <v>877021875</v>
      </c>
    </row>
    <row r="19" spans="1:10" ht="25.5">
      <c r="A19" s="1314" t="s">
        <v>768</v>
      </c>
      <c r="B19" s="1308" t="s">
        <v>769</v>
      </c>
      <c r="C19" s="1310">
        <v>11580000</v>
      </c>
      <c r="D19" s="1310">
        <v>11580000</v>
      </c>
      <c r="E19" s="1319">
        <v>0</v>
      </c>
      <c r="F19" s="1319">
        <v>0</v>
      </c>
      <c r="G19" s="1319">
        <v>0</v>
      </c>
      <c r="H19" s="1319">
        <v>0</v>
      </c>
      <c r="I19" s="1319">
        <f t="shared" si="0"/>
        <v>11580000</v>
      </c>
      <c r="J19" s="1319">
        <f t="shared" si="1"/>
        <v>11580000</v>
      </c>
    </row>
    <row r="20" spans="1:10" ht="25.5" hidden="1">
      <c r="A20" s="1314" t="s">
        <v>770</v>
      </c>
      <c r="B20" s="1308" t="s">
        <v>771</v>
      </c>
      <c r="C20" s="1310">
        <v>0</v>
      </c>
      <c r="D20" s="1310">
        <v>0</v>
      </c>
      <c r="E20" s="1319">
        <v>0</v>
      </c>
      <c r="F20" s="1319">
        <v>0</v>
      </c>
      <c r="G20" s="1319">
        <v>0</v>
      </c>
      <c r="H20" s="1319">
        <v>0</v>
      </c>
      <c r="I20" s="1319">
        <f t="shared" si="0"/>
        <v>0</v>
      </c>
      <c r="J20" s="1319">
        <f t="shared" si="1"/>
        <v>0</v>
      </c>
    </row>
    <row r="21" spans="1:10" ht="25.5">
      <c r="A21" s="1314" t="s">
        <v>772</v>
      </c>
      <c r="B21" s="1308" t="s">
        <v>773</v>
      </c>
      <c r="C21" s="1310">
        <v>11580000</v>
      </c>
      <c r="D21" s="1310">
        <v>11580000</v>
      </c>
      <c r="E21" s="1319">
        <v>0</v>
      </c>
      <c r="F21" s="1319">
        <v>0</v>
      </c>
      <c r="G21" s="1319">
        <v>0</v>
      </c>
      <c r="H21" s="1319">
        <v>0</v>
      </c>
      <c r="I21" s="1319">
        <f t="shared" si="0"/>
        <v>11580000</v>
      </c>
      <c r="J21" s="1319">
        <f t="shared" si="1"/>
        <v>11580000</v>
      </c>
    </row>
    <row r="22" spans="1:10" ht="25.5" hidden="1">
      <c r="A22" s="1314" t="s">
        <v>774</v>
      </c>
      <c r="B22" s="1308" t="s">
        <v>775</v>
      </c>
      <c r="C22" s="1310">
        <v>0</v>
      </c>
      <c r="D22" s="1310">
        <v>0</v>
      </c>
      <c r="E22" s="1319">
        <v>0</v>
      </c>
      <c r="F22" s="1319">
        <v>0</v>
      </c>
      <c r="G22" s="1319">
        <v>0</v>
      </c>
      <c r="H22" s="1319">
        <v>0</v>
      </c>
      <c r="I22" s="1319">
        <f t="shared" si="0"/>
        <v>0</v>
      </c>
      <c r="J22" s="1319">
        <f t="shared" si="1"/>
        <v>0</v>
      </c>
    </row>
    <row r="23" spans="1:10" ht="25.5" hidden="1">
      <c r="A23" s="1314" t="s">
        <v>776</v>
      </c>
      <c r="B23" s="1308" t="s">
        <v>777</v>
      </c>
      <c r="C23" s="1310">
        <v>0</v>
      </c>
      <c r="D23" s="1310">
        <v>0</v>
      </c>
      <c r="E23" s="1319">
        <v>0</v>
      </c>
      <c r="F23" s="1319">
        <v>0</v>
      </c>
      <c r="G23" s="1319">
        <v>0</v>
      </c>
      <c r="H23" s="1319">
        <v>0</v>
      </c>
      <c r="I23" s="1319">
        <f t="shared" si="0"/>
        <v>0</v>
      </c>
      <c r="J23" s="1319">
        <f t="shared" si="1"/>
        <v>0</v>
      </c>
    </row>
    <row r="24" spans="1:10" ht="12.75" hidden="1">
      <c r="A24" s="1314" t="s">
        <v>778</v>
      </c>
      <c r="B24" s="1308" t="s">
        <v>779</v>
      </c>
      <c r="C24" s="1310">
        <v>0</v>
      </c>
      <c r="D24" s="1310">
        <v>0</v>
      </c>
      <c r="E24" s="1319">
        <v>0</v>
      </c>
      <c r="F24" s="1319">
        <v>0</v>
      </c>
      <c r="G24" s="1319">
        <v>0</v>
      </c>
      <c r="H24" s="1319">
        <v>0</v>
      </c>
      <c r="I24" s="1319">
        <f t="shared" si="0"/>
        <v>0</v>
      </c>
      <c r="J24" s="1319">
        <f t="shared" si="1"/>
        <v>0</v>
      </c>
    </row>
    <row r="25" spans="1:10" ht="25.5" hidden="1">
      <c r="A25" s="1314" t="s">
        <v>780</v>
      </c>
      <c r="B25" s="1308" t="s">
        <v>781</v>
      </c>
      <c r="C25" s="1310">
        <v>0</v>
      </c>
      <c r="D25" s="1310">
        <v>0</v>
      </c>
      <c r="E25" s="1319">
        <v>0</v>
      </c>
      <c r="F25" s="1319">
        <v>0</v>
      </c>
      <c r="G25" s="1319">
        <v>0</v>
      </c>
      <c r="H25" s="1319">
        <v>0</v>
      </c>
      <c r="I25" s="1319">
        <f t="shared" si="0"/>
        <v>0</v>
      </c>
      <c r="J25" s="1319">
        <f t="shared" si="1"/>
        <v>0</v>
      </c>
    </row>
    <row r="26" spans="1:10" ht="12.75" hidden="1">
      <c r="A26" s="1314" t="s">
        <v>782</v>
      </c>
      <c r="B26" s="1308" t="s">
        <v>783</v>
      </c>
      <c r="C26" s="1310">
        <v>0</v>
      </c>
      <c r="D26" s="1310">
        <v>0</v>
      </c>
      <c r="E26" s="1319">
        <v>0</v>
      </c>
      <c r="F26" s="1319">
        <v>0</v>
      </c>
      <c r="G26" s="1319">
        <v>0</v>
      </c>
      <c r="H26" s="1319">
        <v>0</v>
      </c>
      <c r="I26" s="1319">
        <f t="shared" si="0"/>
        <v>0</v>
      </c>
      <c r="J26" s="1319">
        <f t="shared" si="1"/>
        <v>0</v>
      </c>
    </row>
    <row r="27" spans="1:10" ht="25.5" hidden="1">
      <c r="A27" s="1314" t="s">
        <v>784</v>
      </c>
      <c r="B27" s="1308" t="s">
        <v>785</v>
      </c>
      <c r="C27" s="1310">
        <v>0</v>
      </c>
      <c r="D27" s="1310">
        <v>0</v>
      </c>
      <c r="E27" s="1319">
        <v>0</v>
      </c>
      <c r="F27" s="1319">
        <v>0</v>
      </c>
      <c r="G27" s="1319">
        <v>0</v>
      </c>
      <c r="H27" s="1319">
        <v>0</v>
      </c>
      <c r="I27" s="1319">
        <f t="shared" si="0"/>
        <v>0</v>
      </c>
      <c r="J27" s="1319">
        <f t="shared" si="1"/>
        <v>0</v>
      </c>
    </row>
    <row r="28" spans="1:10" ht="25.5" hidden="1">
      <c r="A28" s="1314" t="s">
        <v>786</v>
      </c>
      <c r="B28" s="1308" t="s">
        <v>787</v>
      </c>
      <c r="C28" s="1310">
        <v>0</v>
      </c>
      <c r="D28" s="1310">
        <v>0</v>
      </c>
      <c r="E28" s="1319">
        <v>0</v>
      </c>
      <c r="F28" s="1319">
        <v>0</v>
      </c>
      <c r="G28" s="1319">
        <v>0</v>
      </c>
      <c r="H28" s="1319">
        <v>0</v>
      </c>
      <c r="I28" s="1319">
        <f t="shared" si="0"/>
        <v>0</v>
      </c>
      <c r="J28" s="1319">
        <f t="shared" si="1"/>
        <v>0</v>
      </c>
    </row>
    <row r="29" spans="1:10" ht="25.5">
      <c r="A29" s="1315" t="s">
        <v>788</v>
      </c>
      <c r="B29" s="1311" t="s">
        <v>789</v>
      </c>
      <c r="C29" s="1313">
        <v>11580000</v>
      </c>
      <c r="D29" s="1313">
        <v>11580000</v>
      </c>
      <c r="E29" s="1320">
        <v>0</v>
      </c>
      <c r="F29" s="1320">
        <v>0</v>
      </c>
      <c r="G29" s="1320">
        <v>0</v>
      </c>
      <c r="H29" s="1320">
        <v>0</v>
      </c>
      <c r="I29" s="1320">
        <f t="shared" si="0"/>
        <v>11580000</v>
      </c>
      <c r="J29" s="1320">
        <f t="shared" si="1"/>
        <v>11580000</v>
      </c>
    </row>
    <row r="30" spans="1:10" ht="25.5">
      <c r="A30" s="1314" t="s">
        <v>790</v>
      </c>
      <c r="B30" s="1308" t="s">
        <v>791</v>
      </c>
      <c r="C30" s="1310">
        <v>368719844</v>
      </c>
      <c r="D30" s="1310">
        <v>349130541</v>
      </c>
      <c r="E30" s="1319">
        <v>0</v>
      </c>
      <c r="F30" s="1319">
        <v>0</v>
      </c>
      <c r="G30" s="1319">
        <v>0</v>
      </c>
      <c r="H30" s="1319">
        <v>0</v>
      </c>
      <c r="I30" s="1319">
        <f t="shared" si="0"/>
        <v>368719844</v>
      </c>
      <c r="J30" s="1319">
        <f t="shared" si="1"/>
        <v>349130541</v>
      </c>
    </row>
    <row r="31" spans="1:10" ht="12.75">
      <c r="A31" s="1314" t="s">
        <v>792</v>
      </c>
      <c r="B31" s="1308" t="s">
        <v>793</v>
      </c>
      <c r="C31" s="1310">
        <v>0</v>
      </c>
      <c r="D31" s="1310">
        <v>0</v>
      </c>
      <c r="E31" s="1319">
        <v>0</v>
      </c>
      <c r="F31" s="1319">
        <v>0</v>
      </c>
      <c r="G31" s="1319">
        <v>0</v>
      </c>
      <c r="H31" s="1319">
        <v>0</v>
      </c>
      <c r="I31" s="1319">
        <f t="shared" si="0"/>
        <v>0</v>
      </c>
      <c r="J31" s="1319">
        <f t="shared" si="1"/>
        <v>0</v>
      </c>
    </row>
    <row r="32" spans="1:10" ht="12.75">
      <c r="A32" s="1314" t="s">
        <v>794</v>
      </c>
      <c r="B32" s="1308" t="s">
        <v>795</v>
      </c>
      <c r="C32" s="1310">
        <v>368719844</v>
      </c>
      <c r="D32" s="1310">
        <v>349130541</v>
      </c>
      <c r="E32" s="1319">
        <v>0</v>
      </c>
      <c r="F32" s="1319">
        <v>0</v>
      </c>
      <c r="G32" s="1319">
        <v>0</v>
      </c>
      <c r="H32" s="1319">
        <v>0</v>
      </c>
      <c r="I32" s="1319">
        <f t="shared" si="0"/>
        <v>368719844</v>
      </c>
      <c r="J32" s="1319">
        <f t="shared" si="1"/>
        <v>349130541</v>
      </c>
    </row>
    <row r="33" spans="1:10" ht="25.5" hidden="1">
      <c r="A33" s="1314" t="s">
        <v>796</v>
      </c>
      <c r="B33" s="1308" t="s">
        <v>797</v>
      </c>
      <c r="C33" s="1310">
        <v>0</v>
      </c>
      <c r="D33" s="1310">
        <v>0</v>
      </c>
      <c r="E33" s="1319">
        <v>0</v>
      </c>
      <c r="F33" s="1319">
        <v>0</v>
      </c>
      <c r="G33" s="1319">
        <v>0</v>
      </c>
      <c r="H33" s="1319">
        <v>0</v>
      </c>
      <c r="I33" s="1319">
        <f t="shared" si="0"/>
        <v>0</v>
      </c>
      <c r="J33" s="1319">
        <f t="shared" si="1"/>
        <v>0</v>
      </c>
    </row>
    <row r="34" spans="1:10" ht="25.5" hidden="1">
      <c r="A34" s="1314" t="s">
        <v>798</v>
      </c>
      <c r="B34" s="1308" t="s">
        <v>799</v>
      </c>
      <c r="C34" s="1310">
        <v>0</v>
      </c>
      <c r="D34" s="1310">
        <v>0</v>
      </c>
      <c r="E34" s="1319">
        <v>0</v>
      </c>
      <c r="F34" s="1319">
        <v>0</v>
      </c>
      <c r="G34" s="1319">
        <v>0</v>
      </c>
      <c r="H34" s="1319">
        <v>0</v>
      </c>
      <c r="I34" s="1319">
        <f t="shared" si="0"/>
        <v>0</v>
      </c>
      <c r="J34" s="1319">
        <f t="shared" si="1"/>
        <v>0</v>
      </c>
    </row>
    <row r="35" spans="1:10" ht="25.5">
      <c r="A35" s="1315" t="s">
        <v>800</v>
      </c>
      <c r="B35" s="1311" t="s">
        <v>801</v>
      </c>
      <c r="C35" s="1313">
        <v>368719844</v>
      </c>
      <c r="D35" s="1313">
        <v>349130541</v>
      </c>
      <c r="E35" s="1320">
        <v>0</v>
      </c>
      <c r="F35" s="1320">
        <v>0</v>
      </c>
      <c r="G35" s="1320">
        <v>0</v>
      </c>
      <c r="H35" s="1320">
        <v>0</v>
      </c>
      <c r="I35" s="1320">
        <f t="shared" si="0"/>
        <v>368719844</v>
      </c>
      <c r="J35" s="1320">
        <f t="shared" si="1"/>
        <v>349130541</v>
      </c>
    </row>
    <row r="36" spans="1:10" ht="38.25">
      <c r="A36" s="1315" t="s">
        <v>802</v>
      </c>
      <c r="B36" s="1311" t="s">
        <v>803</v>
      </c>
      <c r="C36" s="1313">
        <v>1104669301</v>
      </c>
      <c r="D36" s="1313">
        <v>1238804306</v>
      </c>
      <c r="E36" s="1320">
        <v>528034</v>
      </c>
      <c r="F36" s="1320">
        <v>222683</v>
      </c>
      <c r="G36" s="1320">
        <v>1522777</v>
      </c>
      <c r="H36" s="1320">
        <v>1213325</v>
      </c>
      <c r="I36" s="1320">
        <f t="shared" si="0"/>
        <v>1106720112</v>
      </c>
      <c r="J36" s="1320">
        <f t="shared" si="1"/>
        <v>1240240314</v>
      </c>
    </row>
    <row r="37" spans="1:10" ht="12.75">
      <c r="A37" s="1314" t="s">
        <v>804</v>
      </c>
      <c r="B37" s="1308" t="s">
        <v>805</v>
      </c>
      <c r="C37" s="1310">
        <v>0</v>
      </c>
      <c r="D37" s="1310">
        <v>0</v>
      </c>
      <c r="E37" s="1319">
        <v>0</v>
      </c>
      <c r="F37" s="1319">
        <v>0</v>
      </c>
      <c r="G37" s="1319">
        <v>440920</v>
      </c>
      <c r="H37" s="1319">
        <v>489987</v>
      </c>
      <c r="I37" s="1319">
        <f t="shared" si="0"/>
        <v>440920</v>
      </c>
      <c r="J37" s="1319">
        <f t="shared" si="1"/>
        <v>489987</v>
      </c>
    </row>
    <row r="38" spans="1:10" ht="25.5" hidden="1">
      <c r="A38" s="1314" t="s">
        <v>806</v>
      </c>
      <c r="B38" s="1308" t="s">
        <v>807</v>
      </c>
      <c r="C38" s="1310">
        <v>0</v>
      </c>
      <c r="D38" s="1310">
        <v>0</v>
      </c>
      <c r="E38" s="1319">
        <v>0</v>
      </c>
      <c r="F38" s="1319">
        <v>0</v>
      </c>
      <c r="G38" s="1319">
        <v>0</v>
      </c>
      <c r="H38" s="1319">
        <v>0</v>
      </c>
      <c r="I38" s="1319">
        <f t="shared" si="0"/>
        <v>0</v>
      </c>
      <c r="J38" s="1319">
        <f t="shared" si="1"/>
        <v>0</v>
      </c>
    </row>
    <row r="39" spans="1:10" ht="12.75" hidden="1">
      <c r="A39" s="1314" t="s">
        <v>808</v>
      </c>
      <c r="B39" s="1308" t="s">
        <v>809</v>
      </c>
      <c r="C39" s="1310">
        <v>0</v>
      </c>
      <c r="D39" s="1310">
        <v>0</v>
      </c>
      <c r="E39" s="1319">
        <v>0</v>
      </c>
      <c r="F39" s="1319">
        <v>0</v>
      </c>
      <c r="G39" s="1319">
        <v>0</v>
      </c>
      <c r="H39" s="1319">
        <v>0</v>
      </c>
      <c r="I39" s="1319">
        <f t="shared" si="0"/>
        <v>0</v>
      </c>
      <c r="J39" s="1319">
        <f t="shared" si="1"/>
        <v>0</v>
      </c>
    </row>
    <row r="40" spans="1:10" ht="25.5" hidden="1">
      <c r="A40" s="1314" t="s">
        <v>810</v>
      </c>
      <c r="B40" s="1308" t="s">
        <v>811</v>
      </c>
      <c r="C40" s="1310">
        <v>0</v>
      </c>
      <c r="D40" s="1310">
        <v>0</v>
      </c>
      <c r="E40" s="1319">
        <v>0</v>
      </c>
      <c r="F40" s="1319">
        <v>0</v>
      </c>
      <c r="G40" s="1319">
        <v>0</v>
      </c>
      <c r="H40" s="1319">
        <v>0</v>
      </c>
      <c r="I40" s="1319">
        <f t="shared" si="0"/>
        <v>0</v>
      </c>
      <c r="J40" s="1319">
        <f t="shared" si="1"/>
        <v>0</v>
      </c>
    </row>
    <row r="41" spans="1:10" ht="12.75" hidden="1">
      <c r="A41" s="1314" t="s">
        <v>812</v>
      </c>
      <c r="B41" s="1308" t="s">
        <v>813</v>
      </c>
      <c r="C41" s="1310">
        <v>0</v>
      </c>
      <c r="D41" s="1310">
        <v>0</v>
      </c>
      <c r="E41" s="1319">
        <v>0</v>
      </c>
      <c r="F41" s="1319">
        <v>0</v>
      </c>
      <c r="G41" s="1319">
        <v>0</v>
      </c>
      <c r="H41" s="1319">
        <v>0</v>
      </c>
      <c r="I41" s="1319">
        <f t="shared" si="0"/>
        <v>0</v>
      </c>
      <c r="J41" s="1319">
        <f t="shared" si="1"/>
        <v>0</v>
      </c>
    </row>
    <row r="42" spans="1:10" ht="12.75">
      <c r="A42" s="1315" t="s">
        <v>814</v>
      </c>
      <c r="B42" s="1311" t="s">
        <v>815</v>
      </c>
      <c r="C42" s="1313">
        <v>0</v>
      </c>
      <c r="D42" s="1313">
        <v>0</v>
      </c>
      <c r="E42" s="1320">
        <v>0</v>
      </c>
      <c r="F42" s="1320">
        <v>0</v>
      </c>
      <c r="G42" s="1320">
        <v>440920</v>
      </c>
      <c r="H42" s="1320">
        <v>489987</v>
      </c>
      <c r="I42" s="1320">
        <f t="shared" si="0"/>
        <v>440920</v>
      </c>
      <c r="J42" s="1320">
        <f t="shared" si="1"/>
        <v>489987</v>
      </c>
    </row>
    <row r="43" spans="1:10" ht="12.75" hidden="1">
      <c r="A43" s="1314" t="s">
        <v>816</v>
      </c>
      <c r="B43" s="1308" t="s">
        <v>817</v>
      </c>
      <c r="C43" s="1310">
        <v>0</v>
      </c>
      <c r="D43" s="1310">
        <v>0</v>
      </c>
      <c r="E43" s="1319">
        <v>0</v>
      </c>
      <c r="F43" s="1319">
        <v>0</v>
      </c>
      <c r="G43" s="1319">
        <v>0</v>
      </c>
      <c r="H43" s="1319">
        <v>0</v>
      </c>
      <c r="I43" s="1319">
        <f t="shared" si="0"/>
        <v>0</v>
      </c>
      <c r="J43" s="1319">
        <f t="shared" si="1"/>
        <v>0</v>
      </c>
    </row>
    <row r="44" spans="1:10" ht="25.5">
      <c r="A44" s="1314" t="s">
        <v>818</v>
      </c>
      <c r="B44" s="1308" t="s">
        <v>819</v>
      </c>
      <c r="C44" s="1310">
        <v>28770000</v>
      </c>
      <c r="D44" s="1310">
        <v>29500000</v>
      </c>
      <c r="E44" s="1319">
        <v>0</v>
      </c>
      <c r="F44" s="1319">
        <v>0</v>
      </c>
      <c r="G44" s="1319">
        <v>0</v>
      </c>
      <c r="H44" s="1319">
        <v>0</v>
      </c>
      <c r="I44" s="1319">
        <f t="shared" si="0"/>
        <v>28770000</v>
      </c>
      <c r="J44" s="1319">
        <f t="shared" si="1"/>
        <v>29500000</v>
      </c>
    </row>
    <row r="45" spans="1:10" ht="12.75" hidden="1">
      <c r="A45" s="1314" t="s">
        <v>820</v>
      </c>
      <c r="B45" s="1308" t="s">
        <v>821</v>
      </c>
      <c r="C45" s="1310">
        <v>0</v>
      </c>
      <c r="D45" s="1310">
        <v>0</v>
      </c>
      <c r="E45" s="1319">
        <v>0</v>
      </c>
      <c r="F45" s="1319">
        <v>0</v>
      </c>
      <c r="G45" s="1319">
        <v>0</v>
      </c>
      <c r="H45" s="1319">
        <v>0</v>
      </c>
      <c r="I45" s="1319">
        <f t="shared" si="0"/>
        <v>0</v>
      </c>
      <c r="J45" s="1319">
        <f t="shared" si="1"/>
        <v>0</v>
      </c>
    </row>
    <row r="46" spans="1:10" ht="12.75">
      <c r="A46" s="1314" t="s">
        <v>822</v>
      </c>
      <c r="B46" s="1308" t="s">
        <v>823</v>
      </c>
      <c r="C46" s="1310">
        <v>28770000</v>
      </c>
      <c r="D46" s="1310">
        <v>29500000</v>
      </c>
      <c r="E46" s="1319">
        <v>0</v>
      </c>
      <c r="F46" s="1319">
        <v>0</v>
      </c>
      <c r="G46" s="1319">
        <v>0</v>
      </c>
      <c r="H46" s="1319">
        <v>0</v>
      </c>
      <c r="I46" s="1319">
        <f t="shared" si="0"/>
        <v>28770000</v>
      </c>
      <c r="J46" s="1319">
        <f t="shared" si="1"/>
        <v>29500000</v>
      </c>
    </row>
    <row r="47" spans="1:10" ht="12.75" hidden="1">
      <c r="A47" s="1314" t="s">
        <v>824</v>
      </c>
      <c r="B47" s="1308" t="s">
        <v>825</v>
      </c>
      <c r="C47" s="1310">
        <v>0</v>
      </c>
      <c r="D47" s="1310">
        <v>0</v>
      </c>
      <c r="E47" s="1319">
        <v>0</v>
      </c>
      <c r="F47" s="1319">
        <v>0</v>
      </c>
      <c r="G47" s="1319">
        <v>0</v>
      </c>
      <c r="H47" s="1319">
        <v>0</v>
      </c>
      <c r="I47" s="1319">
        <f t="shared" si="0"/>
        <v>0</v>
      </c>
      <c r="J47" s="1319">
        <f t="shared" si="1"/>
        <v>0</v>
      </c>
    </row>
    <row r="48" spans="1:10" ht="12.75" hidden="1">
      <c r="A48" s="1314" t="s">
        <v>826</v>
      </c>
      <c r="B48" s="1308" t="s">
        <v>827</v>
      </c>
      <c r="C48" s="1310">
        <v>0</v>
      </c>
      <c r="D48" s="1310">
        <v>0</v>
      </c>
      <c r="E48" s="1319">
        <v>0</v>
      </c>
      <c r="F48" s="1319">
        <v>0</v>
      </c>
      <c r="G48" s="1319">
        <v>0</v>
      </c>
      <c r="H48" s="1319">
        <v>0</v>
      </c>
      <c r="I48" s="1319">
        <f t="shared" si="0"/>
        <v>0</v>
      </c>
      <c r="J48" s="1319">
        <f t="shared" si="1"/>
        <v>0</v>
      </c>
    </row>
    <row r="49" spans="1:10" ht="12.75" hidden="1">
      <c r="A49" s="1314" t="s">
        <v>828</v>
      </c>
      <c r="B49" s="1308" t="s">
        <v>829</v>
      </c>
      <c r="C49" s="1310">
        <v>0</v>
      </c>
      <c r="D49" s="1310">
        <v>0</v>
      </c>
      <c r="E49" s="1319">
        <v>0</v>
      </c>
      <c r="F49" s="1319">
        <v>0</v>
      </c>
      <c r="G49" s="1319">
        <v>0</v>
      </c>
      <c r="H49" s="1319">
        <v>0</v>
      </c>
      <c r="I49" s="1319">
        <f t="shared" si="0"/>
        <v>0</v>
      </c>
      <c r="J49" s="1319">
        <f t="shared" si="1"/>
        <v>0</v>
      </c>
    </row>
    <row r="50" spans="1:10" ht="12.75">
      <c r="A50" s="1315" t="s">
        <v>830</v>
      </c>
      <c r="B50" s="1311" t="s">
        <v>831</v>
      </c>
      <c r="C50" s="1313">
        <v>28770000</v>
      </c>
      <c r="D50" s="1313">
        <v>29500000</v>
      </c>
      <c r="E50" s="1320">
        <v>0</v>
      </c>
      <c r="F50" s="1320">
        <v>0</v>
      </c>
      <c r="G50" s="1320">
        <v>0</v>
      </c>
      <c r="H50" s="1320">
        <v>0</v>
      </c>
      <c r="I50" s="1320">
        <f t="shared" si="0"/>
        <v>28770000</v>
      </c>
      <c r="J50" s="1320">
        <f t="shared" si="1"/>
        <v>29500000</v>
      </c>
    </row>
    <row r="51" spans="1:10" ht="25.5">
      <c r="A51" s="1315" t="s">
        <v>832</v>
      </c>
      <c r="B51" s="1311" t="s">
        <v>833</v>
      </c>
      <c r="C51" s="1313">
        <v>28770000</v>
      </c>
      <c r="D51" s="1313">
        <v>29500000</v>
      </c>
      <c r="E51" s="1320">
        <v>0</v>
      </c>
      <c r="F51" s="1320">
        <v>0</v>
      </c>
      <c r="G51" s="1320">
        <v>440920</v>
      </c>
      <c r="H51" s="1320">
        <v>489987</v>
      </c>
      <c r="I51" s="1320">
        <f t="shared" si="0"/>
        <v>29210920</v>
      </c>
      <c r="J51" s="1320">
        <f t="shared" si="1"/>
        <v>29989987</v>
      </c>
    </row>
    <row r="52" spans="1:10" ht="25.5" hidden="1">
      <c r="A52" s="1314" t="s">
        <v>834</v>
      </c>
      <c r="B52" s="1308" t="s">
        <v>835</v>
      </c>
      <c r="C52" s="1310">
        <v>0</v>
      </c>
      <c r="D52" s="1310">
        <v>0</v>
      </c>
      <c r="E52" s="1319">
        <v>0</v>
      </c>
      <c r="F52" s="1319">
        <v>0</v>
      </c>
      <c r="G52" s="1319">
        <v>0</v>
      </c>
      <c r="H52" s="1319">
        <v>0</v>
      </c>
      <c r="I52" s="1319">
        <f t="shared" si="0"/>
        <v>0</v>
      </c>
      <c r="J52" s="1319">
        <f t="shared" si="1"/>
        <v>0</v>
      </c>
    </row>
    <row r="53" spans="1:10" ht="25.5" hidden="1">
      <c r="A53" s="1314" t="s">
        <v>836</v>
      </c>
      <c r="B53" s="1308" t="s">
        <v>837</v>
      </c>
      <c r="C53" s="1310">
        <v>0</v>
      </c>
      <c r="D53" s="1310">
        <v>0</v>
      </c>
      <c r="E53" s="1319">
        <v>0</v>
      </c>
      <c r="F53" s="1319">
        <v>0</v>
      </c>
      <c r="G53" s="1319">
        <v>0</v>
      </c>
      <c r="H53" s="1319">
        <v>0</v>
      </c>
      <c r="I53" s="1319">
        <f t="shared" si="0"/>
        <v>0</v>
      </c>
      <c r="J53" s="1319">
        <f t="shared" si="1"/>
        <v>0</v>
      </c>
    </row>
    <row r="54" spans="1:10" ht="12.75" hidden="1">
      <c r="A54" s="1315" t="s">
        <v>838</v>
      </c>
      <c r="B54" s="1311" t="s">
        <v>839</v>
      </c>
      <c r="C54" s="1313">
        <v>0</v>
      </c>
      <c r="D54" s="1313">
        <v>0</v>
      </c>
      <c r="E54" s="1320">
        <v>0</v>
      </c>
      <c r="F54" s="1320">
        <v>0</v>
      </c>
      <c r="G54" s="1320">
        <v>0</v>
      </c>
      <c r="H54" s="1320">
        <v>0</v>
      </c>
      <c r="I54" s="1320">
        <f t="shared" si="0"/>
        <v>0</v>
      </c>
      <c r="J54" s="1320">
        <f t="shared" si="1"/>
        <v>0</v>
      </c>
    </row>
    <row r="55" spans="1:10" ht="12.75" hidden="1">
      <c r="A55" s="1314" t="s">
        <v>840</v>
      </c>
      <c r="B55" s="1308" t="s">
        <v>841</v>
      </c>
      <c r="C55" s="1310">
        <v>0</v>
      </c>
      <c r="D55" s="1310">
        <v>0</v>
      </c>
      <c r="E55" s="1319">
        <v>0</v>
      </c>
      <c r="F55" s="1319">
        <v>0</v>
      </c>
      <c r="G55" s="1319">
        <v>0</v>
      </c>
      <c r="H55" s="1319">
        <v>0</v>
      </c>
      <c r="I55" s="1319">
        <f t="shared" si="0"/>
        <v>0</v>
      </c>
      <c r="J55" s="1319">
        <f t="shared" si="1"/>
        <v>0</v>
      </c>
    </row>
    <row r="56" spans="1:10" ht="12.75" hidden="1">
      <c r="A56" s="1314" t="s">
        <v>842</v>
      </c>
      <c r="B56" s="1308" t="s">
        <v>843</v>
      </c>
      <c r="C56" s="1310">
        <v>0</v>
      </c>
      <c r="D56" s="1310">
        <v>0</v>
      </c>
      <c r="E56" s="1319">
        <v>0</v>
      </c>
      <c r="F56" s="1319">
        <v>0</v>
      </c>
      <c r="G56" s="1319">
        <v>0</v>
      </c>
      <c r="H56" s="1319">
        <v>0</v>
      </c>
      <c r="I56" s="1319">
        <f t="shared" si="0"/>
        <v>0</v>
      </c>
      <c r="J56" s="1319">
        <f t="shared" si="1"/>
        <v>0</v>
      </c>
    </row>
    <row r="57" spans="1:10" ht="25.5" hidden="1">
      <c r="A57" s="1314" t="s">
        <v>844</v>
      </c>
      <c r="B57" s="1308" t="s">
        <v>845</v>
      </c>
      <c r="C57" s="1310">
        <v>0</v>
      </c>
      <c r="D57" s="1310">
        <v>0</v>
      </c>
      <c r="E57" s="1319">
        <v>0</v>
      </c>
      <c r="F57" s="1319">
        <v>0</v>
      </c>
      <c r="G57" s="1319">
        <v>0</v>
      </c>
      <c r="H57" s="1319">
        <v>0</v>
      </c>
      <c r="I57" s="1319">
        <f t="shared" si="0"/>
        <v>0</v>
      </c>
      <c r="J57" s="1319">
        <f t="shared" si="1"/>
        <v>0</v>
      </c>
    </row>
    <row r="58" spans="1:10" ht="25.5" hidden="1">
      <c r="A58" s="1315" t="s">
        <v>846</v>
      </c>
      <c r="B58" s="1311" t="s">
        <v>847</v>
      </c>
      <c r="C58" s="1313">
        <v>0</v>
      </c>
      <c r="D58" s="1313">
        <v>0</v>
      </c>
      <c r="E58" s="1320">
        <v>0</v>
      </c>
      <c r="F58" s="1320">
        <v>0</v>
      </c>
      <c r="G58" s="1320">
        <v>0</v>
      </c>
      <c r="H58" s="1320">
        <v>0</v>
      </c>
      <c r="I58" s="1320">
        <f t="shared" si="0"/>
        <v>0</v>
      </c>
      <c r="J58" s="1320">
        <f t="shared" si="1"/>
        <v>0</v>
      </c>
    </row>
    <row r="59" spans="1:10" ht="12.75">
      <c r="A59" s="1314" t="s">
        <v>848</v>
      </c>
      <c r="B59" s="1308" t="s">
        <v>849</v>
      </c>
      <c r="C59" s="1310">
        <v>114982607</v>
      </c>
      <c r="D59" s="1310">
        <v>313690647</v>
      </c>
      <c r="E59" s="1319">
        <v>513124</v>
      </c>
      <c r="F59" s="1319">
        <v>987190</v>
      </c>
      <c r="G59" s="1319">
        <v>1765083</v>
      </c>
      <c r="H59" s="1319">
        <v>1473161</v>
      </c>
      <c r="I59" s="1319">
        <f t="shared" si="0"/>
        <v>117260814</v>
      </c>
      <c r="J59" s="1319">
        <f t="shared" si="1"/>
        <v>316150998</v>
      </c>
    </row>
    <row r="60" spans="1:10" ht="12.75">
      <c r="A60" s="1314" t="s">
        <v>850</v>
      </c>
      <c r="B60" s="1308" t="s">
        <v>851</v>
      </c>
      <c r="C60" s="1310">
        <v>0</v>
      </c>
      <c r="D60" s="1310">
        <v>0</v>
      </c>
      <c r="E60" s="1319">
        <v>0</v>
      </c>
      <c r="F60" s="1319">
        <v>0</v>
      </c>
      <c r="G60" s="1319">
        <v>0</v>
      </c>
      <c r="H60" s="1319">
        <v>0</v>
      </c>
      <c r="I60" s="1319">
        <f t="shared" si="0"/>
        <v>0</v>
      </c>
      <c r="J60" s="1319">
        <f t="shared" si="1"/>
        <v>0</v>
      </c>
    </row>
    <row r="61" spans="1:10" ht="12.75">
      <c r="A61" s="1315" t="s">
        <v>852</v>
      </c>
      <c r="B61" s="1311" t="s">
        <v>853</v>
      </c>
      <c r="C61" s="1313">
        <v>114982607</v>
      </c>
      <c r="D61" s="1313">
        <v>313690647</v>
      </c>
      <c r="E61" s="1320">
        <v>513124</v>
      </c>
      <c r="F61" s="1320">
        <v>987190</v>
      </c>
      <c r="G61" s="1320">
        <v>1765083</v>
      </c>
      <c r="H61" s="1320">
        <v>1473161</v>
      </c>
      <c r="I61" s="1320">
        <f t="shared" si="0"/>
        <v>117260814</v>
      </c>
      <c r="J61" s="1320">
        <f t="shared" si="1"/>
        <v>316150998</v>
      </c>
    </row>
    <row r="62" spans="1:10" ht="12.75" hidden="1">
      <c r="A62" s="1314" t="s">
        <v>854</v>
      </c>
      <c r="B62" s="1308" t="s">
        <v>855</v>
      </c>
      <c r="C62" s="1310">
        <v>0</v>
      </c>
      <c r="D62" s="1310">
        <v>0</v>
      </c>
      <c r="E62" s="1319">
        <v>0</v>
      </c>
      <c r="F62" s="1319">
        <v>0</v>
      </c>
      <c r="G62" s="1319">
        <v>0</v>
      </c>
      <c r="H62" s="1319">
        <v>0</v>
      </c>
      <c r="I62" s="1319">
        <f t="shared" si="0"/>
        <v>0</v>
      </c>
      <c r="J62" s="1319">
        <f t="shared" si="1"/>
        <v>0</v>
      </c>
    </row>
    <row r="63" spans="1:10" ht="12.75" hidden="1">
      <c r="A63" s="1314" t="s">
        <v>856</v>
      </c>
      <c r="B63" s="1308" t="s">
        <v>857</v>
      </c>
      <c r="C63" s="1310">
        <v>0</v>
      </c>
      <c r="D63" s="1310">
        <v>0</v>
      </c>
      <c r="E63" s="1319">
        <v>0</v>
      </c>
      <c r="F63" s="1319">
        <v>0</v>
      </c>
      <c r="G63" s="1319">
        <v>0</v>
      </c>
      <c r="H63" s="1319">
        <v>0</v>
      </c>
      <c r="I63" s="1319">
        <f t="shared" si="0"/>
        <v>0</v>
      </c>
      <c r="J63" s="1319">
        <f t="shared" si="1"/>
        <v>0</v>
      </c>
    </row>
    <row r="64" spans="1:10" ht="12.75" hidden="1">
      <c r="A64" s="1315" t="s">
        <v>858</v>
      </c>
      <c r="B64" s="1311" t="s">
        <v>859</v>
      </c>
      <c r="C64" s="1313">
        <v>0</v>
      </c>
      <c r="D64" s="1313">
        <v>0</v>
      </c>
      <c r="E64" s="1320">
        <v>0</v>
      </c>
      <c r="F64" s="1320">
        <v>0</v>
      </c>
      <c r="G64" s="1320">
        <v>0</v>
      </c>
      <c r="H64" s="1320">
        <v>0</v>
      </c>
      <c r="I64" s="1320">
        <f t="shared" si="0"/>
        <v>0</v>
      </c>
      <c r="J64" s="1320">
        <f t="shared" si="1"/>
        <v>0</v>
      </c>
    </row>
    <row r="65" spans="1:10" ht="12.75">
      <c r="A65" s="1315" t="s">
        <v>860</v>
      </c>
      <c r="B65" s="1311" t="s">
        <v>861</v>
      </c>
      <c r="C65" s="1313">
        <v>114982607</v>
      </c>
      <c r="D65" s="1313">
        <v>313690647</v>
      </c>
      <c r="E65" s="1320">
        <v>513124</v>
      </c>
      <c r="F65" s="1320">
        <v>987190</v>
      </c>
      <c r="G65" s="1320">
        <v>1765083</v>
      </c>
      <c r="H65" s="1320">
        <v>1473161</v>
      </c>
      <c r="I65" s="1320">
        <f t="shared" si="0"/>
        <v>117260814</v>
      </c>
      <c r="J65" s="1320">
        <f t="shared" si="1"/>
        <v>316150998</v>
      </c>
    </row>
    <row r="66" spans="1:10" ht="38.25" hidden="1">
      <c r="A66" s="1314" t="s">
        <v>862</v>
      </c>
      <c r="B66" s="1308" t="s">
        <v>863</v>
      </c>
      <c r="C66" s="1310">
        <v>0</v>
      </c>
      <c r="D66" s="1310">
        <v>0</v>
      </c>
      <c r="E66" s="1319">
        <v>0</v>
      </c>
      <c r="F66" s="1319">
        <v>0</v>
      </c>
      <c r="G66" s="1319">
        <v>0</v>
      </c>
      <c r="H66" s="1319">
        <v>0</v>
      </c>
      <c r="I66" s="1319">
        <f t="shared" si="0"/>
        <v>0</v>
      </c>
      <c r="J66" s="1319">
        <f t="shared" si="1"/>
        <v>0</v>
      </c>
    </row>
    <row r="67" spans="1:10" ht="51" hidden="1">
      <c r="A67" s="1314" t="s">
        <v>864</v>
      </c>
      <c r="B67" s="1308" t="s">
        <v>865</v>
      </c>
      <c r="C67" s="1310">
        <v>0</v>
      </c>
      <c r="D67" s="1310">
        <v>0</v>
      </c>
      <c r="E67" s="1319">
        <v>0</v>
      </c>
      <c r="F67" s="1319">
        <v>0</v>
      </c>
      <c r="G67" s="1319">
        <v>0</v>
      </c>
      <c r="H67" s="1319">
        <v>0</v>
      </c>
      <c r="I67" s="1319">
        <f t="shared" si="0"/>
        <v>0</v>
      </c>
      <c r="J67" s="1319">
        <f t="shared" si="1"/>
        <v>0</v>
      </c>
    </row>
    <row r="68" spans="1:10" ht="38.25" hidden="1">
      <c r="A68" s="1314" t="s">
        <v>866</v>
      </c>
      <c r="B68" s="1308" t="s">
        <v>867</v>
      </c>
      <c r="C68" s="1310">
        <v>0</v>
      </c>
      <c r="D68" s="1310">
        <v>0</v>
      </c>
      <c r="E68" s="1319">
        <v>0</v>
      </c>
      <c r="F68" s="1319">
        <v>0</v>
      </c>
      <c r="G68" s="1319">
        <v>0</v>
      </c>
      <c r="H68" s="1319">
        <v>0</v>
      </c>
      <c r="I68" s="1319">
        <f t="shared" si="0"/>
        <v>0</v>
      </c>
      <c r="J68" s="1319">
        <f t="shared" si="1"/>
        <v>0</v>
      </c>
    </row>
    <row r="69" spans="1:10" ht="51" hidden="1">
      <c r="A69" s="1314" t="s">
        <v>868</v>
      </c>
      <c r="B69" s="1308" t="s">
        <v>869</v>
      </c>
      <c r="C69" s="1310">
        <v>0</v>
      </c>
      <c r="D69" s="1310">
        <v>0</v>
      </c>
      <c r="E69" s="1319">
        <v>0</v>
      </c>
      <c r="F69" s="1319">
        <v>0</v>
      </c>
      <c r="G69" s="1319">
        <v>0</v>
      </c>
      <c r="H69" s="1319">
        <v>0</v>
      </c>
      <c r="I69" s="1319">
        <f t="shared" si="0"/>
        <v>0</v>
      </c>
      <c r="J69" s="1319">
        <f t="shared" si="1"/>
        <v>0</v>
      </c>
    </row>
    <row r="70" spans="1:10" ht="38.25">
      <c r="A70" s="1314" t="s">
        <v>870</v>
      </c>
      <c r="B70" s="1308" t="s">
        <v>871</v>
      </c>
      <c r="C70" s="1310">
        <v>8407482</v>
      </c>
      <c r="D70" s="1310">
        <v>5324873</v>
      </c>
      <c r="E70" s="1319">
        <v>0</v>
      </c>
      <c r="F70" s="1319">
        <v>0</v>
      </c>
      <c r="G70" s="1319">
        <v>0</v>
      </c>
      <c r="H70" s="1319">
        <v>0</v>
      </c>
      <c r="I70" s="1319">
        <f t="shared" si="0"/>
        <v>8407482</v>
      </c>
      <c r="J70" s="1319">
        <f t="shared" si="1"/>
        <v>5324873</v>
      </c>
    </row>
    <row r="71" spans="1:10" ht="25.5" hidden="1">
      <c r="A71" s="1314" t="s">
        <v>872</v>
      </c>
      <c r="B71" s="1308" t="s">
        <v>873</v>
      </c>
      <c r="C71" s="1310">
        <v>0</v>
      </c>
      <c r="D71" s="1310">
        <v>0</v>
      </c>
      <c r="E71" s="1319">
        <v>0</v>
      </c>
      <c r="F71" s="1319">
        <v>0</v>
      </c>
      <c r="G71" s="1319">
        <v>0</v>
      </c>
      <c r="H71" s="1319">
        <v>0</v>
      </c>
      <c r="I71" s="1319">
        <f t="shared" si="0"/>
        <v>0</v>
      </c>
      <c r="J71" s="1319">
        <f t="shared" si="1"/>
        <v>0</v>
      </c>
    </row>
    <row r="72" spans="1:10" ht="38.25" hidden="1">
      <c r="A72" s="1314" t="s">
        <v>874</v>
      </c>
      <c r="B72" s="1308" t="s">
        <v>875</v>
      </c>
      <c r="C72" s="1310">
        <v>0</v>
      </c>
      <c r="D72" s="1310">
        <v>0</v>
      </c>
      <c r="E72" s="1319">
        <v>0</v>
      </c>
      <c r="F72" s="1319">
        <v>0</v>
      </c>
      <c r="G72" s="1319">
        <v>0</v>
      </c>
      <c r="H72" s="1319">
        <v>0</v>
      </c>
      <c r="I72" s="1319">
        <f t="shared" si="0"/>
        <v>0</v>
      </c>
      <c r="J72" s="1319">
        <f t="shared" si="1"/>
        <v>0</v>
      </c>
    </row>
    <row r="73" spans="1:10" ht="38.25" hidden="1">
      <c r="A73" s="1314" t="s">
        <v>876</v>
      </c>
      <c r="B73" s="1308" t="s">
        <v>877</v>
      </c>
      <c r="C73" s="1310">
        <v>0</v>
      </c>
      <c r="D73" s="1310">
        <v>0</v>
      </c>
      <c r="E73" s="1319">
        <v>0</v>
      </c>
      <c r="F73" s="1319">
        <v>0</v>
      </c>
      <c r="G73" s="1319">
        <v>0</v>
      </c>
      <c r="H73" s="1319">
        <v>0</v>
      </c>
      <c r="I73" s="1319">
        <f t="shared" si="0"/>
        <v>0</v>
      </c>
      <c r="J73" s="1319">
        <f t="shared" si="1"/>
        <v>0</v>
      </c>
    </row>
    <row r="74" spans="1:10" ht="25.5">
      <c r="A74" s="1314" t="s">
        <v>878</v>
      </c>
      <c r="B74" s="1308" t="s">
        <v>879</v>
      </c>
      <c r="C74" s="1310">
        <v>151699</v>
      </c>
      <c r="D74" s="1310">
        <v>395948</v>
      </c>
      <c r="E74" s="1319">
        <v>0</v>
      </c>
      <c r="F74" s="1319">
        <v>0</v>
      </c>
      <c r="G74" s="1319">
        <v>0</v>
      </c>
      <c r="H74" s="1319">
        <v>0</v>
      </c>
      <c r="I74" s="1319">
        <f aca="true" t="shared" si="2" ref="I74:I137">+C74+E74+G74</f>
        <v>151699</v>
      </c>
      <c r="J74" s="1319">
        <f aca="true" t="shared" si="3" ref="J74:J137">+D74+F74+H74</f>
        <v>395948</v>
      </c>
    </row>
    <row r="75" spans="1:10" ht="25.5">
      <c r="A75" s="1314" t="s">
        <v>880</v>
      </c>
      <c r="B75" s="1308" t="s">
        <v>881</v>
      </c>
      <c r="C75" s="1310">
        <v>6609812</v>
      </c>
      <c r="D75" s="1310">
        <v>2408049</v>
      </c>
      <c r="E75" s="1319">
        <v>0</v>
      </c>
      <c r="F75" s="1319">
        <v>0</v>
      </c>
      <c r="G75" s="1319">
        <v>0</v>
      </c>
      <c r="H75" s="1319">
        <v>0</v>
      </c>
      <c r="I75" s="1319">
        <f t="shared" si="2"/>
        <v>6609812</v>
      </c>
      <c r="J75" s="1319">
        <f t="shared" si="3"/>
        <v>2408049</v>
      </c>
    </row>
    <row r="76" spans="1:10" ht="25.5">
      <c r="A76" s="1314" t="s">
        <v>882</v>
      </c>
      <c r="B76" s="1308" t="s">
        <v>883</v>
      </c>
      <c r="C76" s="1310">
        <v>1645971</v>
      </c>
      <c r="D76" s="1310">
        <v>2520876</v>
      </c>
      <c r="E76" s="1319">
        <v>0</v>
      </c>
      <c r="F76" s="1319">
        <v>0</v>
      </c>
      <c r="G76" s="1319">
        <v>0</v>
      </c>
      <c r="H76" s="1319">
        <v>0</v>
      </c>
      <c r="I76" s="1319">
        <f t="shared" si="2"/>
        <v>1645971</v>
      </c>
      <c r="J76" s="1319">
        <f t="shared" si="3"/>
        <v>2520876</v>
      </c>
    </row>
    <row r="77" spans="1:10" ht="38.25">
      <c r="A77" s="1314" t="s">
        <v>884</v>
      </c>
      <c r="B77" s="1308" t="s">
        <v>885</v>
      </c>
      <c r="C77" s="1310">
        <v>676328</v>
      </c>
      <c r="D77" s="1310">
        <v>374260</v>
      </c>
      <c r="E77" s="1319">
        <v>0</v>
      </c>
      <c r="F77" s="1319">
        <v>0</v>
      </c>
      <c r="G77" s="1319">
        <v>102970</v>
      </c>
      <c r="H77" s="1319">
        <v>58518</v>
      </c>
      <c r="I77" s="1319">
        <f t="shared" si="2"/>
        <v>779298</v>
      </c>
      <c r="J77" s="1319">
        <f t="shared" si="3"/>
        <v>432778</v>
      </c>
    </row>
    <row r="78" spans="1:10" ht="51">
      <c r="A78" s="1314" t="s">
        <v>886</v>
      </c>
      <c r="B78" s="1308" t="s">
        <v>887</v>
      </c>
      <c r="C78" s="1310">
        <v>204276</v>
      </c>
      <c r="D78" s="1310">
        <v>186353</v>
      </c>
      <c r="E78" s="1319">
        <v>0</v>
      </c>
      <c r="F78" s="1319">
        <v>0</v>
      </c>
      <c r="G78" s="1319">
        <v>33140</v>
      </c>
      <c r="H78" s="1319">
        <v>0</v>
      </c>
      <c r="I78" s="1319">
        <f t="shared" si="2"/>
        <v>237416</v>
      </c>
      <c r="J78" s="1319">
        <f t="shared" si="3"/>
        <v>186353</v>
      </c>
    </row>
    <row r="79" spans="1:10" ht="25.5">
      <c r="A79" s="1314" t="s">
        <v>888</v>
      </c>
      <c r="B79" s="1308" t="s">
        <v>889</v>
      </c>
      <c r="C79" s="1310">
        <v>183200</v>
      </c>
      <c r="D79" s="1310">
        <v>0</v>
      </c>
      <c r="E79" s="1319">
        <v>0</v>
      </c>
      <c r="F79" s="1319">
        <v>0</v>
      </c>
      <c r="G79" s="1319">
        <v>51825</v>
      </c>
      <c r="H79" s="1319">
        <v>0</v>
      </c>
      <c r="I79" s="1319">
        <f t="shared" si="2"/>
        <v>235025</v>
      </c>
      <c r="J79" s="1319">
        <f t="shared" si="3"/>
        <v>0</v>
      </c>
    </row>
    <row r="80" spans="1:10" ht="25.5">
      <c r="A80" s="1314" t="s">
        <v>890</v>
      </c>
      <c r="B80" s="1308" t="s">
        <v>891</v>
      </c>
      <c r="C80" s="1310">
        <v>0</v>
      </c>
      <c r="D80" s="1310">
        <v>0</v>
      </c>
      <c r="E80" s="1319">
        <v>0</v>
      </c>
      <c r="F80" s="1319">
        <v>0</v>
      </c>
      <c r="G80" s="1319">
        <v>18005</v>
      </c>
      <c r="H80" s="1319">
        <v>58518</v>
      </c>
      <c r="I80" s="1319">
        <f t="shared" si="2"/>
        <v>18005</v>
      </c>
      <c r="J80" s="1319">
        <f t="shared" si="3"/>
        <v>58518</v>
      </c>
    </row>
    <row r="81" spans="1:10" ht="38.25">
      <c r="A81" s="1314" t="s">
        <v>892</v>
      </c>
      <c r="B81" s="1308" t="s">
        <v>893</v>
      </c>
      <c r="C81" s="1310">
        <v>54452</v>
      </c>
      <c r="D81" s="1310">
        <v>6100</v>
      </c>
      <c r="E81" s="1319">
        <v>0</v>
      </c>
      <c r="F81" s="1319">
        <v>0</v>
      </c>
      <c r="G81" s="1319">
        <v>0</v>
      </c>
      <c r="H81" s="1319">
        <v>0</v>
      </c>
      <c r="I81" s="1319">
        <f t="shared" si="2"/>
        <v>54452</v>
      </c>
      <c r="J81" s="1319">
        <f t="shared" si="3"/>
        <v>6100</v>
      </c>
    </row>
    <row r="82" spans="1:10" ht="38.25" hidden="1">
      <c r="A82" s="1314" t="s">
        <v>894</v>
      </c>
      <c r="B82" s="1308" t="s">
        <v>895</v>
      </c>
      <c r="C82" s="1310">
        <v>0</v>
      </c>
      <c r="D82" s="1310">
        <v>0</v>
      </c>
      <c r="E82" s="1319">
        <v>0</v>
      </c>
      <c r="F82" s="1319">
        <v>0</v>
      </c>
      <c r="G82" s="1319">
        <v>0</v>
      </c>
      <c r="H82" s="1319">
        <v>0</v>
      </c>
      <c r="I82" s="1319">
        <f t="shared" si="2"/>
        <v>0</v>
      </c>
      <c r="J82" s="1319">
        <f t="shared" si="3"/>
        <v>0</v>
      </c>
    </row>
    <row r="83" spans="1:10" ht="38.25" hidden="1">
      <c r="A83" s="1314" t="s">
        <v>896</v>
      </c>
      <c r="B83" s="1308" t="s">
        <v>897</v>
      </c>
      <c r="C83" s="1310">
        <v>0</v>
      </c>
      <c r="D83" s="1310">
        <v>0</v>
      </c>
      <c r="E83" s="1319">
        <v>0</v>
      </c>
      <c r="F83" s="1319">
        <v>0</v>
      </c>
      <c r="G83" s="1319">
        <v>0</v>
      </c>
      <c r="H83" s="1319">
        <v>0</v>
      </c>
      <c r="I83" s="1319">
        <f t="shared" si="2"/>
        <v>0</v>
      </c>
      <c r="J83" s="1319">
        <f t="shared" si="3"/>
        <v>0</v>
      </c>
    </row>
    <row r="84" spans="1:10" ht="38.25" hidden="1">
      <c r="A84" s="1314" t="s">
        <v>898</v>
      </c>
      <c r="B84" s="1308" t="s">
        <v>899</v>
      </c>
      <c r="C84" s="1310">
        <v>0</v>
      </c>
      <c r="D84" s="1310">
        <v>0</v>
      </c>
      <c r="E84" s="1319">
        <v>0</v>
      </c>
      <c r="F84" s="1319">
        <v>0</v>
      </c>
      <c r="G84" s="1319">
        <v>0</v>
      </c>
      <c r="H84" s="1319">
        <v>0</v>
      </c>
      <c r="I84" s="1319">
        <f t="shared" si="2"/>
        <v>0</v>
      </c>
      <c r="J84" s="1319">
        <f t="shared" si="3"/>
        <v>0</v>
      </c>
    </row>
    <row r="85" spans="1:10" ht="25.5" hidden="1">
      <c r="A85" s="1314" t="s">
        <v>900</v>
      </c>
      <c r="B85" s="1308" t="s">
        <v>901</v>
      </c>
      <c r="C85" s="1310">
        <v>0</v>
      </c>
      <c r="D85" s="1310">
        <v>0</v>
      </c>
      <c r="E85" s="1319">
        <v>0</v>
      </c>
      <c r="F85" s="1319">
        <v>0</v>
      </c>
      <c r="G85" s="1319">
        <v>0</v>
      </c>
      <c r="H85" s="1319">
        <v>0</v>
      </c>
      <c r="I85" s="1319">
        <f t="shared" si="2"/>
        <v>0</v>
      </c>
      <c r="J85" s="1319">
        <f t="shared" si="3"/>
        <v>0</v>
      </c>
    </row>
    <row r="86" spans="1:10" ht="25.5">
      <c r="A86" s="1314" t="s">
        <v>902</v>
      </c>
      <c r="B86" s="1308" t="s">
        <v>903</v>
      </c>
      <c r="C86" s="1310">
        <v>234400</v>
      </c>
      <c r="D86" s="1310">
        <v>181807</v>
      </c>
      <c r="E86" s="1319">
        <v>0</v>
      </c>
      <c r="F86" s="1319">
        <v>0</v>
      </c>
      <c r="G86" s="1319">
        <v>0</v>
      </c>
      <c r="H86" s="1319">
        <v>0</v>
      </c>
      <c r="I86" s="1319">
        <f t="shared" si="2"/>
        <v>234400</v>
      </c>
      <c r="J86" s="1319">
        <f t="shared" si="3"/>
        <v>181807</v>
      </c>
    </row>
    <row r="87" spans="1:10" ht="38.25" hidden="1">
      <c r="A87" s="1314" t="s">
        <v>904</v>
      </c>
      <c r="B87" s="1308" t="s">
        <v>905</v>
      </c>
      <c r="C87" s="1310">
        <v>0</v>
      </c>
      <c r="D87" s="1310">
        <v>0</v>
      </c>
      <c r="E87" s="1319">
        <v>0</v>
      </c>
      <c r="F87" s="1319">
        <v>0</v>
      </c>
      <c r="G87" s="1319">
        <v>0</v>
      </c>
      <c r="H87" s="1319">
        <v>0</v>
      </c>
      <c r="I87" s="1319">
        <f t="shared" si="2"/>
        <v>0</v>
      </c>
      <c r="J87" s="1319">
        <f t="shared" si="3"/>
        <v>0</v>
      </c>
    </row>
    <row r="88" spans="1:10" ht="25.5" hidden="1">
      <c r="A88" s="1314" t="s">
        <v>906</v>
      </c>
      <c r="B88" s="1308" t="s">
        <v>907</v>
      </c>
      <c r="C88" s="1310">
        <v>0</v>
      </c>
      <c r="D88" s="1310">
        <v>0</v>
      </c>
      <c r="E88" s="1319">
        <v>0</v>
      </c>
      <c r="F88" s="1319">
        <v>0</v>
      </c>
      <c r="G88" s="1319">
        <v>0</v>
      </c>
      <c r="H88" s="1319">
        <v>0</v>
      </c>
      <c r="I88" s="1319">
        <f t="shared" si="2"/>
        <v>0</v>
      </c>
      <c r="J88" s="1319">
        <f t="shared" si="3"/>
        <v>0</v>
      </c>
    </row>
    <row r="89" spans="1:10" ht="25.5" hidden="1">
      <c r="A89" s="1314" t="s">
        <v>908</v>
      </c>
      <c r="B89" s="1308" t="s">
        <v>909</v>
      </c>
      <c r="C89" s="1310">
        <v>0</v>
      </c>
      <c r="D89" s="1310">
        <v>0</v>
      </c>
      <c r="E89" s="1319">
        <v>0</v>
      </c>
      <c r="F89" s="1319">
        <v>0</v>
      </c>
      <c r="G89" s="1319">
        <v>0</v>
      </c>
      <c r="H89" s="1319">
        <v>0</v>
      </c>
      <c r="I89" s="1319">
        <f t="shared" si="2"/>
        <v>0</v>
      </c>
      <c r="J89" s="1319">
        <f t="shared" si="3"/>
        <v>0</v>
      </c>
    </row>
    <row r="90" spans="1:10" ht="38.25" hidden="1">
      <c r="A90" s="1314" t="s">
        <v>910</v>
      </c>
      <c r="B90" s="1308" t="s">
        <v>911</v>
      </c>
      <c r="C90" s="1310">
        <v>0</v>
      </c>
      <c r="D90" s="1310">
        <v>0</v>
      </c>
      <c r="E90" s="1319">
        <v>0</v>
      </c>
      <c r="F90" s="1319">
        <v>0</v>
      </c>
      <c r="G90" s="1319">
        <v>0</v>
      </c>
      <c r="H90" s="1319">
        <v>0</v>
      </c>
      <c r="I90" s="1319">
        <f t="shared" si="2"/>
        <v>0</v>
      </c>
      <c r="J90" s="1319">
        <f t="shared" si="3"/>
        <v>0</v>
      </c>
    </row>
    <row r="91" spans="1:10" ht="25.5" hidden="1">
      <c r="A91" s="1314" t="s">
        <v>912</v>
      </c>
      <c r="B91" s="1308" t="s">
        <v>913</v>
      </c>
      <c r="C91" s="1310">
        <v>0</v>
      </c>
      <c r="D91" s="1310">
        <v>0</v>
      </c>
      <c r="E91" s="1319">
        <v>0</v>
      </c>
      <c r="F91" s="1319">
        <v>0</v>
      </c>
      <c r="G91" s="1319">
        <v>0</v>
      </c>
      <c r="H91" s="1319">
        <v>0</v>
      </c>
      <c r="I91" s="1319">
        <f t="shared" si="2"/>
        <v>0</v>
      </c>
      <c r="J91" s="1319">
        <f t="shared" si="3"/>
        <v>0</v>
      </c>
    </row>
    <row r="92" spans="1:10" ht="38.25" hidden="1">
      <c r="A92" s="1314" t="s">
        <v>914</v>
      </c>
      <c r="B92" s="1308" t="s">
        <v>915</v>
      </c>
      <c r="C92" s="1310">
        <v>0</v>
      </c>
      <c r="D92" s="1310">
        <v>0</v>
      </c>
      <c r="E92" s="1319">
        <v>0</v>
      </c>
      <c r="F92" s="1319">
        <v>0</v>
      </c>
      <c r="G92" s="1319">
        <v>0</v>
      </c>
      <c r="H92" s="1319">
        <v>0</v>
      </c>
      <c r="I92" s="1319">
        <f t="shared" si="2"/>
        <v>0</v>
      </c>
      <c r="J92" s="1319">
        <f t="shared" si="3"/>
        <v>0</v>
      </c>
    </row>
    <row r="93" spans="1:10" ht="38.25" hidden="1">
      <c r="A93" s="1314" t="s">
        <v>916</v>
      </c>
      <c r="B93" s="1308" t="s">
        <v>917</v>
      </c>
      <c r="C93" s="1310">
        <v>0</v>
      </c>
      <c r="D93" s="1310">
        <v>0</v>
      </c>
      <c r="E93" s="1319">
        <v>0</v>
      </c>
      <c r="F93" s="1319">
        <v>0</v>
      </c>
      <c r="G93" s="1319">
        <v>0</v>
      </c>
      <c r="H93" s="1319">
        <v>0</v>
      </c>
      <c r="I93" s="1319">
        <f t="shared" si="2"/>
        <v>0</v>
      </c>
      <c r="J93" s="1319">
        <f t="shared" si="3"/>
        <v>0</v>
      </c>
    </row>
    <row r="94" spans="1:10" ht="51" hidden="1">
      <c r="A94" s="1314" t="s">
        <v>918</v>
      </c>
      <c r="B94" s="1308" t="s">
        <v>919</v>
      </c>
      <c r="C94" s="1310">
        <v>0</v>
      </c>
      <c r="D94" s="1310">
        <v>0</v>
      </c>
      <c r="E94" s="1319">
        <v>0</v>
      </c>
      <c r="F94" s="1319">
        <v>0</v>
      </c>
      <c r="G94" s="1319">
        <v>0</v>
      </c>
      <c r="H94" s="1319">
        <v>0</v>
      </c>
      <c r="I94" s="1319">
        <f t="shared" si="2"/>
        <v>0</v>
      </c>
      <c r="J94" s="1319">
        <f t="shared" si="3"/>
        <v>0</v>
      </c>
    </row>
    <row r="95" spans="1:10" ht="63.75" hidden="1">
      <c r="A95" s="1314" t="s">
        <v>920</v>
      </c>
      <c r="B95" s="1308" t="s">
        <v>921</v>
      </c>
      <c r="C95" s="1310">
        <v>0</v>
      </c>
      <c r="D95" s="1310">
        <v>0</v>
      </c>
      <c r="E95" s="1319">
        <v>0</v>
      </c>
      <c r="F95" s="1319">
        <v>0</v>
      </c>
      <c r="G95" s="1319">
        <v>0</v>
      </c>
      <c r="H95" s="1319">
        <v>0</v>
      </c>
      <c r="I95" s="1319">
        <f t="shared" si="2"/>
        <v>0</v>
      </c>
      <c r="J95" s="1319">
        <f t="shared" si="3"/>
        <v>0</v>
      </c>
    </row>
    <row r="96" spans="1:10" ht="51" hidden="1">
      <c r="A96" s="1314" t="s">
        <v>922</v>
      </c>
      <c r="B96" s="1308" t="s">
        <v>923</v>
      </c>
      <c r="C96" s="1310">
        <v>0</v>
      </c>
      <c r="D96" s="1310">
        <v>0</v>
      </c>
      <c r="E96" s="1319">
        <v>0</v>
      </c>
      <c r="F96" s="1319">
        <v>0</v>
      </c>
      <c r="G96" s="1319">
        <v>0</v>
      </c>
      <c r="H96" s="1319">
        <v>0</v>
      </c>
      <c r="I96" s="1319">
        <f t="shared" si="2"/>
        <v>0</v>
      </c>
      <c r="J96" s="1319">
        <f t="shared" si="3"/>
        <v>0</v>
      </c>
    </row>
    <row r="97" spans="1:10" ht="38.25" hidden="1">
      <c r="A97" s="1314" t="s">
        <v>924</v>
      </c>
      <c r="B97" s="1308" t="s">
        <v>925</v>
      </c>
      <c r="C97" s="1310">
        <v>0</v>
      </c>
      <c r="D97" s="1310">
        <v>0</v>
      </c>
      <c r="E97" s="1319">
        <v>0</v>
      </c>
      <c r="F97" s="1319">
        <v>0</v>
      </c>
      <c r="G97" s="1319">
        <v>0</v>
      </c>
      <c r="H97" s="1319">
        <v>0</v>
      </c>
      <c r="I97" s="1319">
        <f t="shared" si="2"/>
        <v>0</v>
      </c>
      <c r="J97" s="1319">
        <f t="shared" si="3"/>
        <v>0</v>
      </c>
    </row>
    <row r="98" spans="1:10" ht="51" hidden="1">
      <c r="A98" s="1314" t="s">
        <v>926</v>
      </c>
      <c r="B98" s="1308" t="s">
        <v>927</v>
      </c>
      <c r="C98" s="1310">
        <v>0</v>
      </c>
      <c r="D98" s="1310">
        <v>0</v>
      </c>
      <c r="E98" s="1319">
        <v>0</v>
      </c>
      <c r="F98" s="1319">
        <v>0</v>
      </c>
      <c r="G98" s="1319">
        <v>0</v>
      </c>
      <c r="H98" s="1319">
        <v>0</v>
      </c>
      <c r="I98" s="1319">
        <f t="shared" si="2"/>
        <v>0</v>
      </c>
      <c r="J98" s="1319">
        <f t="shared" si="3"/>
        <v>0</v>
      </c>
    </row>
    <row r="99" spans="1:10" ht="63.75" hidden="1">
      <c r="A99" s="1314" t="s">
        <v>928</v>
      </c>
      <c r="B99" s="1308" t="s">
        <v>929</v>
      </c>
      <c r="C99" s="1310">
        <v>0</v>
      </c>
      <c r="D99" s="1310">
        <v>0</v>
      </c>
      <c r="E99" s="1319">
        <v>0</v>
      </c>
      <c r="F99" s="1319">
        <v>0</v>
      </c>
      <c r="G99" s="1319">
        <v>0</v>
      </c>
      <c r="H99" s="1319">
        <v>0</v>
      </c>
      <c r="I99" s="1319">
        <f t="shared" si="2"/>
        <v>0</v>
      </c>
      <c r="J99" s="1319">
        <f t="shared" si="3"/>
        <v>0</v>
      </c>
    </row>
    <row r="100" spans="1:10" ht="51" hidden="1">
      <c r="A100" s="1314" t="s">
        <v>930</v>
      </c>
      <c r="B100" s="1308" t="s">
        <v>931</v>
      </c>
      <c r="C100" s="1310">
        <v>0</v>
      </c>
      <c r="D100" s="1310">
        <v>0</v>
      </c>
      <c r="E100" s="1319">
        <v>0</v>
      </c>
      <c r="F100" s="1319">
        <v>0</v>
      </c>
      <c r="G100" s="1319">
        <v>0</v>
      </c>
      <c r="H100" s="1319">
        <v>0</v>
      </c>
      <c r="I100" s="1319">
        <f t="shared" si="2"/>
        <v>0</v>
      </c>
      <c r="J100" s="1319">
        <f t="shared" si="3"/>
        <v>0</v>
      </c>
    </row>
    <row r="101" spans="1:10" ht="38.25" hidden="1">
      <c r="A101" s="1314" t="s">
        <v>932</v>
      </c>
      <c r="B101" s="1308" t="s">
        <v>933</v>
      </c>
      <c r="C101" s="1310">
        <v>0</v>
      </c>
      <c r="D101" s="1310">
        <v>0</v>
      </c>
      <c r="E101" s="1319">
        <v>0</v>
      </c>
      <c r="F101" s="1319">
        <v>0</v>
      </c>
      <c r="G101" s="1319">
        <v>0</v>
      </c>
      <c r="H101" s="1319">
        <v>0</v>
      </c>
      <c r="I101" s="1319">
        <f t="shared" si="2"/>
        <v>0</v>
      </c>
      <c r="J101" s="1319">
        <f t="shared" si="3"/>
        <v>0</v>
      </c>
    </row>
    <row r="102" spans="1:10" ht="38.25" hidden="1">
      <c r="A102" s="1314" t="s">
        <v>934</v>
      </c>
      <c r="B102" s="1308" t="s">
        <v>935</v>
      </c>
      <c r="C102" s="1310">
        <v>0</v>
      </c>
      <c r="D102" s="1310">
        <v>0</v>
      </c>
      <c r="E102" s="1319">
        <v>0</v>
      </c>
      <c r="F102" s="1319">
        <v>0</v>
      </c>
      <c r="G102" s="1319">
        <v>0</v>
      </c>
      <c r="H102" s="1319">
        <v>0</v>
      </c>
      <c r="I102" s="1319">
        <f t="shared" si="2"/>
        <v>0</v>
      </c>
      <c r="J102" s="1319">
        <f t="shared" si="3"/>
        <v>0</v>
      </c>
    </row>
    <row r="103" spans="1:10" ht="38.25" hidden="1">
      <c r="A103" s="1314" t="s">
        <v>936</v>
      </c>
      <c r="B103" s="1308" t="s">
        <v>937</v>
      </c>
      <c r="C103" s="1310">
        <v>0</v>
      </c>
      <c r="D103" s="1310">
        <v>0</v>
      </c>
      <c r="E103" s="1319">
        <v>0</v>
      </c>
      <c r="F103" s="1319">
        <v>0</v>
      </c>
      <c r="G103" s="1319">
        <v>0</v>
      </c>
      <c r="H103" s="1319">
        <v>0</v>
      </c>
      <c r="I103" s="1319">
        <f t="shared" si="2"/>
        <v>0</v>
      </c>
      <c r="J103" s="1319">
        <f t="shared" si="3"/>
        <v>0</v>
      </c>
    </row>
    <row r="104" spans="1:10" ht="38.25" hidden="1">
      <c r="A104" s="1314" t="s">
        <v>938</v>
      </c>
      <c r="B104" s="1308" t="s">
        <v>939</v>
      </c>
      <c r="C104" s="1310">
        <v>0</v>
      </c>
      <c r="D104" s="1310">
        <v>0</v>
      </c>
      <c r="E104" s="1319">
        <v>0</v>
      </c>
      <c r="F104" s="1319">
        <v>0</v>
      </c>
      <c r="G104" s="1319">
        <v>0</v>
      </c>
      <c r="H104" s="1319">
        <v>0</v>
      </c>
      <c r="I104" s="1319">
        <f t="shared" si="2"/>
        <v>0</v>
      </c>
      <c r="J104" s="1319">
        <f t="shared" si="3"/>
        <v>0</v>
      </c>
    </row>
    <row r="105" spans="1:10" ht="38.25" hidden="1">
      <c r="A105" s="1314" t="s">
        <v>940</v>
      </c>
      <c r="B105" s="1308" t="s">
        <v>941</v>
      </c>
      <c r="C105" s="1310">
        <v>0</v>
      </c>
      <c r="D105" s="1310">
        <v>0</v>
      </c>
      <c r="E105" s="1319">
        <v>0</v>
      </c>
      <c r="F105" s="1319">
        <v>0</v>
      </c>
      <c r="G105" s="1319">
        <v>0</v>
      </c>
      <c r="H105" s="1319">
        <v>0</v>
      </c>
      <c r="I105" s="1319">
        <f t="shared" si="2"/>
        <v>0</v>
      </c>
      <c r="J105" s="1319">
        <f t="shared" si="3"/>
        <v>0</v>
      </c>
    </row>
    <row r="106" spans="1:10" ht="38.25" hidden="1">
      <c r="A106" s="1314" t="s">
        <v>942</v>
      </c>
      <c r="B106" s="1308" t="s">
        <v>943</v>
      </c>
      <c r="C106" s="1310">
        <v>0</v>
      </c>
      <c r="D106" s="1310">
        <v>0</v>
      </c>
      <c r="E106" s="1319">
        <v>0</v>
      </c>
      <c r="F106" s="1319">
        <v>0</v>
      </c>
      <c r="G106" s="1319">
        <v>0</v>
      </c>
      <c r="H106" s="1319">
        <v>0</v>
      </c>
      <c r="I106" s="1319">
        <f t="shared" si="2"/>
        <v>0</v>
      </c>
      <c r="J106" s="1319">
        <f t="shared" si="3"/>
        <v>0</v>
      </c>
    </row>
    <row r="107" spans="1:10" ht="38.25" hidden="1">
      <c r="A107" s="1314" t="s">
        <v>944</v>
      </c>
      <c r="B107" s="1308" t="s">
        <v>945</v>
      </c>
      <c r="C107" s="1310">
        <v>0</v>
      </c>
      <c r="D107" s="1310">
        <v>0</v>
      </c>
      <c r="E107" s="1319">
        <v>0</v>
      </c>
      <c r="F107" s="1319">
        <v>0</v>
      </c>
      <c r="G107" s="1319">
        <v>0</v>
      </c>
      <c r="H107" s="1319">
        <v>0</v>
      </c>
      <c r="I107" s="1319">
        <f t="shared" si="2"/>
        <v>0</v>
      </c>
      <c r="J107" s="1319">
        <f t="shared" si="3"/>
        <v>0</v>
      </c>
    </row>
    <row r="108" spans="1:10" ht="38.25" hidden="1">
      <c r="A108" s="1314" t="s">
        <v>946</v>
      </c>
      <c r="B108" s="1308" t="s">
        <v>947</v>
      </c>
      <c r="C108" s="1310">
        <v>0</v>
      </c>
      <c r="D108" s="1310">
        <v>0</v>
      </c>
      <c r="E108" s="1319">
        <v>0</v>
      </c>
      <c r="F108" s="1319">
        <v>0</v>
      </c>
      <c r="G108" s="1319">
        <v>0</v>
      </c>
      <c r="H108" s="1319">
        <v>0</v>
      </c>
      <c r="I108" s="1319">
        <f t="shared" si="2"/>
        <v>0</v>
      </c>
      <c r="J108" s="1319">
        <f t="shared" si="3"/>
        <v>0</v>
      </c>
    </row>
    <row r="109" spans="1:10" ht="25.5">
      <c r="A109" s="1315" t="s">
        <v>948</v>
      </c>
      <c r="B109" s="1311" t="s">
        <v>949</v>
      </c>
      <c r="C109" s="1313">
        <v>9083810</v>
      </c>
      <c r="D109" s="1313">
        <v>5699133</v>
      </c>
      <c r="E109" s="1320">
        <v>0</v>
      </c>
      <c r="F109" s="1320">
        <v>0</v>
      </c>
      <c r="G109" s="1320">
        <v>102970</v>
      </c>
      <c r="H109" s="1320">
        <v>58518</v>
      </c>
      <c r="I109" s="1320">
        <f t="shared" si="2"/>
        <v>9186780</v>
      </c>
      <c r="J109" s="1320">
        <f t="shared" si="3"/>
        <v>5757651</v>
      </c>
    </row>
    <row r="110" spans="1:10" ht="51" hidden="1">
      <c r="A110" s="1314" t="s">
        <v>950</v>
      </c>
      <c r="B110" s="1308" t="s">
        <v>951</v>
      </c>
      <c r="C110" s="1310">
        <v>0</v>
      </c>
      <c r="D110" s="1310">
        <v>0</v>
      </c>
      <c r="E110" s="1319">
        <v>0</v>
      </c>
      <c r="F110" s="1319">
        <v>0</v>
      </c>
      <c r="G110" s="1319">
        <v>0</v>
      </c>
      <c r="H110" s="1319">
        <v>0</v>
      </c>
      <c r="I110" s="1319">
        <f t="shared" si="2"/>
        <v>0</v>
      </c>
      <c r="J110" s="1319">
        <f t="shared" si="3"/>
        <v>0</v>
      </c>
    </row>
    <row r="111" spans="1:10" ht="51" hidden="1">
      <c r="A111" s="1314" t="s">
        <v>952</v>
      </c>
      <c r="B111" s="1308" t="s">
        <v>953</v>
      </c>
      <c r="C111" s="1310">
        <v>0</v>
      </c>
      <c r="D111" s="1310">
        <v>0</v>
      </c>
      <c r="E111" s="1319">
        <v>0</v>
      </c>
      <c r="F111" s="1319">
        <v>0</v>
      </c>
      <c r="G111" s="1319">
        <v>0</v>
      </c>
      <c r="H111" s="1319">
        <v>0</v>
      </c>
      <c r="I111" s="1319">
        <f t="shared" si="2"/>
        <v>0</v>
      </c>
      <c r="J111" s="1319">
        <f t="shared" si="3"/>
        <v>0</v>
      </c>
    </row>
    <row r="112" spans="1:10" ht="51" hidden="1">
      <c r="A112" s="1314" t="s">
        <v>954</v>
      </c>
      <c r="B112" s="1308" t="s">
        <v>955</v>
      </c>
      <c r="C112" s="1310">
        <v>0</v>
      </c>
      <c r="D112" s="1310">
        <v>0</v>
      </c>
      <c r="E112" s="1319">
        <v>0</v>
      </c>
      <c r="F112" s="1319">
        <v>0</v>
      </c>
      <c r="G112" s="1319">
        <v>0</v>
      </c>
      <c r="H112" s="1319">
        <v>0</v>
      </c>
      <c r="I112" s="1319">
        <f t="shared" si="2"/>
        <v>0</v>
      </c>
      <c r="J112" s="1319">
        <f t="shared" si="3"/>
        <v>0</v>
      </c>
    </row>
    <row r="113" spans="1:10" ht="51" hidden="1">
      <c r="A113" s="1314" t="s">
        <v>956</v>
      </c>
      <c r="B113" s="1308" t="s">
        <v>957</v>
      </c>
      <c r="C113" s="1310">
        <v>0</v>
      </c>
      <c r="D113" s="1310">
        <v>0</v>
      </c>
      <c r="E113" s="1319">
        <v>0</v>
      </c>
      <c r="F113" s="1319">
        <v>0</v>
      </c>
      <c r="G113" s="1319">
        <v>0</v>
      </c>
      <c r="H113" s="1319">
        <v>0</v>
      </c>
      <c r="I113" s="1319">
        <f t="shared" si="2"/>
        <v>0</v>
      </c>
      <c r="J113" s="1319">
        <f t="shared" si="3"/>
        <v>0</v>
      </c>
    </row>
    <row r="114" spans="1:10" ht="38.25" hidden="1">
      <c r="A114" s="1314" t="s">
        <v>958</v>
      </c>
      <c r="B114" s="1308" t="s">
        <v>959</v>
      </c>
      <c r="C114" s="1310">
        <v>0</v>
      </c>
      <c r="D114" s="1310">
        <v>0</v>
      </c>
      <c r="E114" s="1319">
        <v>0</v>
      </c>
      <c r="F114" s="1319">
        <v>0</v>
      </c>
      <c r="G114" s="1319">
        <v>0</v>
      </c>
      <c r="H114" s="1319">
        <v>0</v>
      </c>
      <c r="I114" s="1319">
        <f t="shared" si="2"/>
        <v>0</v>
      </c>
      <c r="J114" s="1319">
        <f t="shared" si="3"/>
        <v>0</v>
      </c>
    </row>
    <row r="115" spans="1:10" ht="25.5" hidden="1">
      <c r="A115" s="1314" t="s">
        <v>960</v>
      </c>
      <c r="B115" s="1308" t="s">
        <v>961</v>
      </c>
      <c r="C115" s="1310">
        <v>0</v>
      </c>
      <c r="D115" s="1310">
        <v>0</v>
      </c>
      <c r="E115" s="1319">
        <v>0</v>
      </c>
      <c r="F115" s="1319">
        <v>0</v>
      </c>
      <c r="G115" s="1319">
        <v>0</v>
      </c>
      <c r="H115" s="1319">
        <v>0</v>
      </c>
      <c r="I115" s="1319">
        <f t="shared" si="2"/>
        <v>0</v>
      </c>
      <c r="J115" s="1319">
        <f t="shared" si="3"/>
        <v>0</v>
      </c>
    </row>
    <row r="116" spans="1:10" ht="38.25" hidden="1">
      <c r="A116" s="1314" t="s">
        <v>962</v>
      </c>
      <c r="B116" s="1308" t="s">
        <v>963</v>
      </c>
      <c r="C116" s="1310">
        <v>0</v>
      </c>
      <c r="D116" s="1310">
        <v>0</v>
      </c>
      <c r="E116" s="1319">
        <v>0</v>
      </c>
      <c r="F116" s="1319">
        <v>0</v>
      </c>
      <c r="G116" s="1319">
        <v>0</v>
      </c>
      <c r="H116" s="1319">
        <v>0</v>
      </c>
      <c r="I116" s="1319">
        <f t="shared" si="2"/>
        <v>0</v>
      </c>
      <c r="J116" s="1319">
        <f t="shared" si="3"/>
        <v>0</v>
      </c>
    </row>
    <row r="117" spans="1:10" ht="38.25" hidden="1">
      <c r="A117" s="1314" t="s">
        <v>964</v>
      </c>
      <c r="B117" s="1308" t="s">
        <v>965</v>
      </c>
      <c r="C117" s="1310">
        <v>0</v>
      </c>
      <c r="D117" s="1310">
        <v>0</v>
      </c>
      <c r="E117" s="1319">
        <v>0</v>
      </c>
      <c r="F117" s="1319">
        <v>0</v>
      </c>
      <c r="G117" s="1319">
        <v>0</v>
      </c>
      <c r="H117" s="1319">
        <v>0</v>
      </c>
      <c r="I117" s="1319">
        <f t="shared" si="2"/>
        <v>0</v>
      </c>
      <c r="J117" s="1319">
        <f t="shared" si="3"/>
        <v>0</v>
      </c>
    </row>
    <row r="118" spans="1:10" ht="25.5" hidden="1">
      <c r="A118" s="1314" t="s">
        <v>966</v>
      </c>
      <c r="B118" s="1308" t="s">
        <v>967</v>
      </c>
      <c r="C118" s="1310">
        <v>0</v>
      </c>
      <c r="D118" s="1310">
        <v>0</v>
      </c>
      <c r="E118" s="1319">
        <v>0</v>
      </c>
      <c r="F118" s="1319">
        <v>0</v>
      </c>
      <c r="G118" s="1319">
        <v>0</v>
      </c>
      <c r="H118" s="1319">
        <v>0</v>
      </c>
      <c r="I118" s="1319">
        <f t="shared" si="2"/>
        <v>0</v>
      </c>
      <c r="J118" s="1319">
        <f t="shared" si="3"/>
        <v>0</v>
      </c>
    </row>
    <row r="119" spans="1:10" ht="38.25" hidden="1">
      <c r="A119" s="1314" t="s">
        <v>968</v>
      </c>
      <c r="B119" s="1308" t="s">
        <v>969</v>
      </c>
      <c r="C119" s="1310">
        <v>0</v>
      </c>
      <c r="D119" s="1310">
        <v>0</v>
      </c>
      <c r="E119" s="1319">
        <v>0</v>
      </c>
      <c r="F119" s="1319">
        <v>0</v>
      </c>
      <c r="G119" s="1319">
        <v>0</v>
      </c>
      <c r="H119" s="1319">
        <v>0</v>
      </c>
      <c r="I119" s="1319">
        <f t="shared" si="2"/>
        <v>0</v>
      </c>
      <c r="J119" s="1319">
        <f t="shared" si="3"/>
        <v>0</v>
      </c>
    </row>
    <row r="120" spans="1:10" ht="38.25" hidden="1">
      <c r="A120" s="1314" t="s">
        <v>970</v>
      </c>
      <c r="B120" s="1308" t="s">
        <v>971</v>
      </c>
      <c r="C120" s="1310">
        <v>0</v>
      </c>
      <c r="D120" s="1310">
        <v>0</v>
      </c>
      <c r="E120" s="1319">
        <v>0</v>
      </c>
      <c r="F120" s="1319">
        <v>0</v>
      </c>
      <c r="G120" s="1319">
        <v>0</v>
      </c>
      <c r="H120" s="1319">
        <v>0</v>
      </c>
      <c r="I120" s="1319">
        <f t="shared" si="2"/>
        <v>0</v>
      </c>
      <c r="J120" s="1319">
        <f t="shared" si="3"/>
        <v>0</v>
      </c>
    </row>
    <row r="121" spans="1:10" ht="38.25" hidden="1">
      <c r="A121" s="1314" t="s">
        <v>972</v>
      </c>
      <c r="B121" s="1308" t="s">
        <v>973</v>
      </c>
      <c r="C121" s="1310">
        <v>0</v>
      </c>
      <c r="D121" s="1310">
        <v>0</v>
      </c>
      <c r="E121" s="1319">
        <v>0</v>
      </c>
      <c r="F121" s="1319">
        <v>0</v>
      </c>
      <c r="G121" s="1319">
        <v>0</v>
      </c>
      <c r="H121" s="1319">
        <v>0</v>
      </c>
      <c r="I121" s="1319">
        <f t="shared" si="2"/>
        <v>0</v>
      </c>
      <c r="J121" s="1319">
        <f t="shared" si="3"/>
        <v>0</v>
      </c>
    </row>
    <row r="122" spans="1:10" ht="51" hidden="1">
      <c r="A122" s="1314" t="s">
        <v>974</v>
      </c>
      <c r="B122" s="1308" t="s">
        <v>975</v>
      </c>
      <c r="C122" s="1310">
        <v>0</v>
      </c>
      <c r="D122" s="1310">
        <v>0</v>
      </c>
      <c r="E122" s="1319">
        <v>0</v>
      </c>
      <c r="F122" s="1319">
        <v>0</v>
      </c>
      <c r="G122" s="1319">
        <v>0</v>
      </c>
      <c r="H122" s="1319">
        <v>0</v>
      </c>
      <c r="I122" s="1319">
        <f t="shared" si="2"/>
        <v>0</v>
      </c>
      <c r="J122" s="1319">
        <f t="shared" si="3"/>
        <v>0</v>
      </c>
    </row>
    <row r="123" spans="1:10" ht="25.5" hidden="1">
      <c r="A123" s="1314" t="s">
        <v>976</v>
      </c>
      <c r="B123" s="1308" t="s">
        <v>977</v>
      </c>
      <c r="C123" s="1310">
        <v>0</v>
      </c>
      <c r="D123" s="1310">
        <v>0</v>
      </c>
      <c r="E123" s="1319">
        <v>0</v>
      </c>
      <c r="F123" s="1319">
        <v>0</v>
      </c>
      <c r="G123" s="1319">
        <v>0</v>
      </c>
      <c r="H123" s="1319">
        <v>0</v>
      </c>
      <c r="I123" s="1319">
        <f t="shared" si="2"/>
        <v>0</v>
      </c>
      <c r="J123" s="1319">
        <f t="shared" si="3"/>
        <v>0</v>
      </c>
    </row>
    <row r="124" spans="1:10" ht="25.5" hidden="1">
      <c r="A124" s="1314" t="s">
        <v>978</v>
      </c>
      <c r="B124" s="1308" t="s">
        <v>979</v>
      </c>
      <c r="C124" s="1310">
        <v>0</v>
      </c>
      <c r="D124" s="1310">
        <v>0</v>
      </c>
      <c r="E124" s="1319">
        <v>0</v>
      </c>
      <c r="F124" s="1319">
        <v>0</v>
      </c>
      <c r="G124" s="1319">
        <v>0</v>
      </c>
      <c r="H124" s="1319">
        <v>0</v>
      </c>
      <c r="I124" s="1319">
        <f t="shared" si="2"/>
        <v>0</v>
      </c>
      <c r="J124" s="1319">
        <f t="shared" si="3"/>
        <v>0</v>
      </c>
    </row>
    <row r="125" spans="1:10" ht="38.25" hidden="1">
      <c r="A125" s="1314" t="s">
        <v>980</v>
      </c>
      <c r="B125" s="1308" t="s">
        <v>981</v>
      </c>
      <c r="C125" s="1310">
        <v>0</v>
      </c>
      <c r="D125" s="1310">
        <v>0</v>
      </c>
      <c r="E125" s="1319">
        <v>0</v>
      </c>
      <c r="F125" s="1319">
        <v>0</v>
      </c>
      <c r="G125" s="1319">
        <v>0</v>
      </c>
      <c r="H125" s="1319">
        <v>0</v>
      </c>
      <c r="I125" s="1319">
        <f t="shared" si="2"/>
        <v>0</v>
      </c>
      <c r="J125" s="1319">
        <f t="shared" si="3"/>
        <v>0</v>
      </c>
    </row>
    <row r="126" spans="1:10" ht="38.25" hidden="1">
      <c r="A126" s="1314" t="s">
        <v>982</v>
      </c>
      <c r="B126" s="1308" t="s">
        <v>983</v>
      </c>
      <c r="C126" s="1310">
        <v>0</v>
      </c>
      <c r="D126" s="1310">
        <v>0</v>
      </c>
      <c r="E126" s="1319">
        <v>0</v>
      </c>
      <c r="F126" s="1319">
        <v>0</v>
      </c>
      <c r="G126" s="1319">
        <v>0</v>
      </c>
      <c r="H126" s="1319">
        <v>0</v>
      </c>
      <c r="I126" s="1319">
        <f t="shared" si="2"/>
        <v>0</v>
      </c>
      <c r="J126" s="1319">
        <f t="shared" si="3"/>
        <v>0</v>
      </c>
    </row>
    <row r="127" spans="1:10" ht="38.25" hidden="1">
      <c r="A127" s="1314" t="s">
        <v>984</v>
      </c>
      <c r="B127" s="1308" t="s">
        <v>985</v>
      </c>
      <c r="C127" s="1310">
        <v>0</v>
      </c>
      <c r="D127" s="1310">
        <v>0</v>
      </c>
      <c r="E127" s="1319">
        <v>0</v>
      </c>
      <c r="F127" s="1319">
        <v>0</v>
      </c>
      <c r="G127" s="1319">
        <v>0</v>
      </c>
      <c r="H127" s="1319">
        <v>0</v>
      </c>
      <c r="I127" s="1319">
        <f t="shared" si="2"/>
        <v>0</v>
      </c>
      <c r="J127" s="1319">
        <f t="shared" si="3"/>
        <v>0</v>
      </c>
    </row>
    <row r="128" spans="1:10" ht="38.25" hidden="1">
      <c r="A128" s="1314" t="s">
        <v>986</v>
      </c>
      <c r="B128" s="1308" t="s">
        <v>987</v>
      </c>
      <c r="C128" s="1310">
        <v>0</v>
      </c>
      <c r="D128" s="1310">
        <v>0</v>
      </c>
      <c r="E128" s="1319">
        <v>0</v>
      </c>
      <c r="F128" s="1319">
        <v>0</v>
      </c>
      <c r="G128" s="1319">
        <v>0</v>
      </c>
      <c r="H128" s="1319">
        <v>0</v>
      </c>
      <c r="I128" s="1319">
        <f t="shared" si="2"/>
        <v>0</v>
      </c>
      <c r="J128" s="1319">
        <f t="shared" si="3"/>
        <v>0</v>
      </c>
    </row>
    <row r="129" spans="1:10" ht="38.25" hidden="1">
      <c r="A129" s="1314" t="s">
        <v>988</v>
      </c>
      <c r="B129" s="1308" t="s">
        <v>989</v>
      </c>
      <c r="C129" s="1310">
        <v>0</v>
      </c>
      <c r="D129" s="1310">
        <v>0</v>
      </c>
      <c r="E129" s="1319">
        <v>0</v>
      </c>
      <c r="F129" s="1319">
        <v>0</v>
      </c>
      <c r="G129" s="1319">
        <v>0</v>
      </c>
      <c r="H129" s="1319">
        <v>0</v>
      </c>
      <c r="I129" s="1319">
        <f t="shared" si="2"/>
        <v>0</v>
      </c>
      <c r="J129" s="1319">
        <f t="shared" si="3"/>
        <v>0</v>
      </c>
    </row>
    <row r="130" spans="1:10" ht="38.25" hidden="1">
      <c r="A130" s="1314" t="s">
        <v>990</v>
      </c>
      <c r="B130" s="1308" t="s">
        <v>991</v>
      </c>
      <c r="C130" s="1310">
        <v>0</v>
      </c>
      <c r="D130" s="1310">
        <v>0</v>
      </c>
      <c r="E130" s="1319">
        <v>0</v>
      </c>
      <c r="F130" s="1319">
        <v>0</v>
      </c>
      <c r="G130" s="1319">
        <v>0</v>
      </c>
      <c r="H130" s="1319">
        <v>0</v>
      </c>
      <c r="I130" s="1319">
        <f t="shared" si="2"/>
        <v>0</v>
      </c>
      <c r="J130" s="1319">
        <f t="shared" si="3"/>
        <v>0</v>
      </c>
    </row>
    <row r="131" spans="1:10" ht="38.25" hidden="1">
      <c r="A131" s="1314" t="s">
        <v>992</v>
      </c>
      <c r="B131" s="1308" t="s">
        <v>993</v>
      </c>
      <c r="C131" s="1310">
        <v>0</v>
      </c>
      <c r="D131" s="1310">
        <v>0</v>
      </c>
      <c r="E131" s="1319">
        <v>0</v>
      </c>
      <c r="F131" s="1319">
        <v>0</v>
      </c>
      <c r="G131" s="1319">
        <v>0</v>
      </c>
      <c r="H131" s="1319">
        <v>0</v>
      </c>
      <c r="I131" s="1319">
        <f t="shared" si="2"/>
        <v>0</v>
      </c>
      <c r="J131" s="1319">
        <f t="shared" si="3"/>
        <v>0</v>
      </c>
    </row>
    <row r="132" spans="1:10" ht="38.25" hidden="1">
      <c r="A132" s="1314" t="s">
        <v>994</v>
      </c>
      <c r="B132" s="1308" t="s">
        <v>995</v>
      </c>
      <c r="C132" s="1310">
        <v>0</v>
      </c>
      <c r="D132" s="1310">
        <v>0</v>
      </c>
      <c r="E132" s="1319">
        <v>0</v>
      </c>
      <c r="F132" s="1319">
        <v>0</v>
      </c>
      <c r="G132" s="1319">
        <v>0</v>
      </c>
      <c r="H132" s="1319">
        <v>0</v>
      </c>
      <c r="I132" s="1319">
        <f t="shared" si="2"/>
        <v>0</v>
      </c>
      <c r="J132" s="1319">
        <f t="shared" si="3"/>
        <v>0</v>
      </c>
    </row>
    <row r="133" spans="1:10" ht="38.25" hidden="1">
      <c r="A133" s="1314" t="s">
        <v>996</v>
      </c>
      <c r="B133" s="1308" t="s">
        <v>997</v>
      </c>
      <c r="C133" s="1310">
        <v>0</v>
      </c>
      <c r="D133" s="1310">
        <v>0</v>
      </c>
      <c r="E133" s="1319">
        <v>0</v>
      </c>
      <c r="F133" s="1319">
        <v>0</v>
      </c>
      <c r="G133" s="1319">
        <v>0</v>
      </c>
      <c r="H133" s="1319">
        <v>0</v>
      </c>
      <c r="I133" s="1319">
        <f t="shared" si="2"/>
        <v>0</v>
      </c>
      <c r="J133" s="1319">
        <f t="shared" si="3"/>
        <v>0</v>
      </c>
    </row>
    <row r="134" spans="1:10" ht="38.25" hidden="1">
      <c r="A134" s="1314" t="s">
        <v>998</v>
      </c>
      <c r="B134" s="1308" t="s">
        <v>999</v>
      </c>
      <c r="C134" s="1310">
        <v>0</v>
      </c>
      <c r="D134" s="1310">
        <v>0</v>
      </c>
      <c r="E134" s="1319">
        <v>0</v>
      </c>
      <c r="F134" s="1319">
        <v>0</v>
      </c>
      <c r="G134" s="1319">
        <v>0</v>
      </c>
      <c r="H134" s="1319">
        <v>0</v>
      </c>
      <c r="I134" s="1319">
        <f t="shared" si="2"/>
        <v>0</v>
      </c>
      <c r="J134" s="1319">
        <f t="shared" si="3"/>
        <v>0</v>
      </c>
    </row>
    <row r="135" spans="1:10" ht="38.25" hidden="1">
      <c r="A135" s="1314" t="s">
        <v>1000</v>
      </c>
      <c r="B135" s="1308" t="s">
        <v>1001</v>
      </c>
      <c r="C135" s="1310">
        <v>0</v>
      </c>
      <c r="D135" s="1310">
        <v>0</v>
      </c>
      <c r="E135" s="1319">
        <v>0</v>
      </c>
      <c r="F135" s="1319">
        <v>0</v>
      </c>
      <c r="G135" s="1319">
        <v>0</v>
      </c>
      <c r="H135" s="1319">
        <v>0</v>
      </c>
      <c r="I135" s="1319">
        <f t="shared" si="2"/>
        <v>0</v>
      </c>
      <c r="J135" s="1319">
        <f t="shared" si="3"/>
        <v>0</v>
      </c>
    </row>
    <row r="136" spans="1:10" ht="38.25" hidden="1">
      <c r="A136" s="1314" t="s">
        <v>1002</v>
      </c>
      <c r="B136" s="1308" t="s">
        <v>1003</v>
      </c>
      <c r="C136" s="1310">
        <v>0</v>
      </c>
      <c r="D136" s="1310">
        <v>0</v>
      </c>
      <c r="E136" s="1319">
        <v>0</v>
      </c>
      <c r="F136" s="1319">
        <v>0</v>
      </c>
      <c r="G136" s="1319">
        <v>0</v>
      </c>
      <c r="H136" s="1319">
        <v>0</v>
      </c>
      <c r="I136" s="1319">
        <f t="shared" si="2"/>
        <v>0</v>
      </c>
      <c r="J136" s="1319">
        <f t="shared" si="3"/>
        <v>0</v>
      </c>
    </row>
    <row r="137" spans="1:10" ht="38.25" hidden="1">
      <c r="A137" s="1314" t="s">
        <v>1004</v>
      </c>
      <c r="B137" s="1308" t="s">
        <v>1005</v>
      </c>
      <c r="C137" s="1310">
        <v>0</v>
      </c>
      <c r="D137" s="1310">
        <v>0</v>
      </c>
      <c r="E137" s="1319">
        <v>0</v>
      </c>
      <c r="F137" s="1319">
        <v>0</v>
      </c>
      <c r="G137" s="1319">
        <v>0</v>
      </c>
      <c r="H137" s="1319">
        <v>0</v>
      </c>
      <c r="I137" s="1319">
        <f t="shared" si="2"/>
        <v>0</v>
      </c>
      <c r="J137" s="1319">
        <f t="shared" si="3"/>
        <v>0</v>
      </c>
    </row>
    <row r="138" spans="1:10" ht="51" hidden="1">
      <c r="A138" s="1314" t="s">
        <v>1006</v>
      </c>
      <c r="B138" s="1308" t="s">
        <v>1007</v>
      </c>
      <c r="C138" s="1310">
        <v>0</v>
      </c>
      <c r="D138" s="1310">
        <v>0</v>
      </c>
      <c r="E138" s="1319">
        <v>0</v>
      </c>
      <c r="F138" s="1319">
        <v>0</v>
      </c>
      <c r="G138" s="1319">
        <v>0</v>
      </c>
      <c r="H138" s="1319">
        <v>0</v>
      </c>
      <c r="I138" s="1319">
        <f aca="true" t="shared" si="4" ref="I138:I201">+C138+E138+G138</f>
        <v>0</v>
      </c>
      <c r="J138" s="1319">
        <f aca="true" t="shared" si="5" ref="J138:J201">+D138+F138+H138</f>
        <v>0</v>
      </c>
    </row>
    <row r="139" spans="1:10" ht="63.75" hidden="1">
      <c r="A139" s="1314" t="s">
        <v>1008</v>
      </c>
      <c r="B139" s="1308" t="s">
        <v>1009</v>
      </c>
      <c r="C139" s="1310">
        <v>0</v>
      </c>
      <c r="D139" s="1310">
        <v>0</v>
      </c>
      <c r="E139" s="1319">
        <v>0</v>
      </c>
      <c r="F139" s="1319">
        <v>0</v>
      </c>
      <c r="G139" s="1319">
        <v>0</v>
      </c>
      <c r="H139" s="1319">
        <v>0</v>
      </c>
      <c r="I139" s="1319">
        <f t="shared" si="4"/>
        <v>0</v>
      </c>
      <c r="J139" s="1319">
        <f t="shared" si="5"/>
        <v>0</v>
      </c>
    </row>
    <row r="140" spans="1:10" ht="51" hidden="1">
      <c r="A140" s="1314" t="s">
        <v>1010</v>
      </c>
      <c r="B140" s="1308" t="s">
        <v>1011</v>
      </c>
      <c r="C140" s="1310">
        <v>0</v>
      </c>
      <c r="D140" s="1310">
        <v>0</v>
      </c>
      <c r="E140" s="1319">
        <v>0</v>
      </c>
      <c r="F140" s="1319">
        <v>0</v>
      </c>
      <c r="G140" s="1319">
        <v>0</v>
      </c>
      <c r="H140" s="1319">
        <v>0</v>
      </c>
      <c r="I140" s="1319">
        <f t="shared" si="4"/>
        <v>0</v>
      </c>
      <c r="J140" s="1319">
        <f t="shared" si="5"/>
        <v>0</v>
      </c>
    </row>
    <row r="141" spans="1:10" ht="38.25" hidden="1">
      <c r="A141" s="1314" t="s">
        <v>1012</v>
      </c>
      <c r="B141" s="1308" t="s">
        <v>1013</v>
      </c>
      <c r="C141" s="1310">
        <v>0</v>
      </c>
      <c r="D141" s="1310">
        <v>0</v>
      </c>
      <c r="E141" s="1319">
        <v>0</v>
      </c>
      <c r="F141" s="1319">
        <v>0</v>
      </c>
      <c r="G141" s="1319">
        <v>0</v>
      </c>
      <c r="H141" s="1319">
        <v>0</v>
      </c>
      <c r="I141" s="1319">
        <f t="shared" si="4"/>
        <v>0</v>
      </c>
      <c r="J141" s="1319">
        <f t="shared" si="5"/>
        <v>0</v>
      </c>
    </row>
    <row r="142" spans="1:10" ht="51" hidden="1">
      <c r="A142" s="1314" t="s">
        <v>1014</v>
      </c>
      <c r="B142" s="1308" t="s">
        <v>1015</v>
      </c>
      <c r="C142" s="1310">
        <v>0</v>
      </c>
      <c r="D142" s="1310">
        <v>0</v>
      </c>
      <c r="E142" s="1319">
        <v>0</v>
      </c>
      <c r="F142" s="1319">
        <v>0</v>
      </c>
      <c r="G142" s="1319">
        <v>0</v>
      </c>
      <c r="H142" s="1319">
        <v>0</v>
      </c>
      <c r="I142" s="1319">
        <f t="shared" si="4"/>
        <v>0</v>
      </c>
      <c r="J142" s="1319">
        <f t="shared" si="5"/>
        <v>0</v>
      </c>
    </row>
    <row r="143" spans="1:10" ht="63.75" hidden="1">
      <c r="A143" s="1314" t="s">
        <v>1016</v>
      </c>
      <c r="B143" s="1308" t="s">
        <v>1017</v>
      </c>
      <c r="C143" s="1310">
        <v>0</v>
      </c>
      <c r="D143" s="1310">
        <v>0</v>
      </c>
      <c r="E143" s="1319">
        <v>0</v>
      </c>
      <c r="F143" s="1319">
        <v>0</v>
      </c>
      <c r="G143" s="1319">
        <v>0</v>
      </c>
      <c r="H143" s="1319">
        <v>0</v>
      </c>
      <c r="I143" s="1319">
        <f t="shared" si="4"/>
        <v>0</v>
      </c>
      <c r="J143" s="1319">
        <f t="shared" si="5"/>
        <v>0</v>
      </c>
    </row>
    <row r="144" spans="1:10" ht="51" hidden="1">
      <c r="A144" s="1314" t="s">
        <v>1018</v>
      </c>
      <c r="B144" s="1308" t="s">
        <v>1019</v>
      </c>
      <c r="C144" s="1310">
        <v>0</v>
      </c>
      <c r="D144" s="1310">
        <v>0</v>
      </c>
      <c r="E144" s="1319">
        <v>0</v>
      </c>
      <c r="F144" s="1319">
        <v>0</v>
      </c>
      <c r="G144" s="1319">
        <v>0</v>
      </c>
      <c r="H144" s="1319">
        <v>0</v>
      </c>
      <c r="I144" s="1319">
        <f t="shared" si="4"/>
        <v>0</v>
      </c>
      <c r="J144" s="1319">
        <f t="shared" si="5"/>
        <v>0</v>
      </c>
    </row>
    <row r="145" spans="1:10" ht="38.25" hidden="1">
      <c r="A145" s="1314" t="s">
        <v>1020</v>
      </c>
      <c r="B145" s="1308" t="s">
        <v>1021</v>
      </c>
      <c r="C145" s="1310">
        <v>0</v>
      </c>
      <c r="D145" s="1310">
        <v>0</v>
      </c>
      <c r="E145" s="1319">
        <v>0</v>
      </c>
      <c r="F145" s="1319">
        <v>0</v>
      </c>
      <c r="G145" s="1319">
        <v>0</v>
      </c>
      <c r="H145" s="1319">
        <v>0</v>
      </c>
      <c r="I145" s="1319">
        <f t="shared" si="4"/>
        <v>0</v>
      </c>
      <c r="J145" s="1319">
        <f t="shared" si="5"/>
        <v>0</v>
      </c>
    </row>
    <row r="146" spans="1:10" ht="38.25" hidden="1">
      <c r="A146" s="1314" t="s">
        <v>1022</v>
      </c>
      <c r="B146" s="1308" t="s">
        <v>1023</v>
      </c>
      <c r="C146" s="1310">
        <v>0</v>
      </c>
      <c r="D146" s="1310">
        <v>0</v>
      </c>
      <c r="E146" s="1319">
        <v>0</v>
      </c>
      <c r="F146" s="1319">
        <v>0</v>
      </c>
      <c r="G146" s="1319">
        <v>0</v>
      </c>
      <c r="H146" s="1319">
        <v>0</v>
      </c>
      <c r="I146" s="1319">
        <f t="shared" si="4"/>
        <v>0</v>
      </c>
      <c r="J146" s="1319">
        <f t="shared" si="5"/>
        <v>0</v>
      </c>
    </row>
    <row r="147" spans="1:10" ht="38.25" hidden="1">
      <c r="A147" s="1314" t="s">
        <v>1024</v>
      </c>
      <c r="B147" s="1308" t="s">
        <v>1025</v>
      </c>
      <c r="C147" s="1310">
        <v>0</v>
      </c>
      <c r="D147" s="1310">
        <v>0</v>
      </c>
      <c r="E147" s="1319">
        <v>0</v>
      </c>
      <c r="F147" s="1319">
        <v>0</v>
      </c>
      <c r="G147" s="1319">
        <v>0</v>
      </c>
      <c r="H147" s="1319">
        <v>0</v>
      </c>
      <c r="I147" s="1319">
        <f t="shared" si="4"/>
        <v>0</v>
      </c>
      <c r="J147" s="1319">
        <f t="shared" si="5"/>
        <v>0</v>
      </c>
    </row>
    <row r="148" spans="1:10" ht="38.25" hidden="1">
      <c r="A148" s="1314" t="s">
        <v>1026</v>
      </c>
      <c r="B148" s="1308" t="s">
        <v>1027</v>
      </c>
      <c r="C148" s="1310">
        <v>0</v>
      </c>
      <c r="D148" s="1310">
        <v>0</v>
      </c>
      <c r="E148" s="1319">
        <v>0</v>
      </c>
      <c r="F148" s="1319">
        <v>0</v>
      </c>
      <c r="G148" s="1319">
        <v>0</v>
      </c>
      <c r="H148" s="1319">
        <v>0</v>
      </c>
      <c r="I148" s="1319">
        <f t="shared" si="4"/>
        <v>0</v>
      </c>
      <c r="J148" s="1319">
        <f t="shared" si="5"/>
        <v>0</v>
      </c>
    </row>
    <row r="149" spans="1:10" ht="38.25" hidden="1">
      <c r="A149" s="1314" t="s">
        <v>1028</v>
      </c>
      <c r="B149" s="1308" t="s">
        <v>1029</v>
      </c>
      <c r="C149" s="1310">
        <v>0</v>
      </c>
      <c r="D149" s="1310">
        <v>0</v>
      </c>
      <c r="E149" s="1319">
        <v>0</v>
      </c>
      <c r="F149" s="1319">
        <v>0</v>
      </c>
      <c r="G149" s="1319">
        <v>0</v>
      </c>
      <c r="H149" s="1319">
        <v>0</v>
      </c>
      <c r="I149" s="1319">
        <f t="shared" si="4"/>
        <v>0</v>
      </c>
      <c r="J149" s="1319">
        <f t="shared" si="5"/>
        <v>0</v>
      </c>
    </row>
    <row r="150" spans="1:10" ht="25.5">
      <c r="A150" s="1315" t="s">
        <v>1030</v>
      </c>
      <c r="B150" s="1311" t="s">
        <v>1031</v>
      </c>
      <c r="C150" s="1313">
        <v>0</v>
      </c>
      <c r="D150" s="1313">
        <v>0</v>
      </c>
      <c r="E150" s="1320">
        <v>0</v>
      </c>
      <c r="F150" s="1320">
        <v>0</v>
      </c>
      <c r="G150" s="1320">
        <v>0</v>
      </c>
      <c r="H150" s="1320">
        <v>0</v>
      </c>
      <c r="I150" s="1320">
        <f t="shared" si="4"/>
        <v>0</v>
      </c>
      <c r="J150" s="1320">
        <f t="shared" si="5"/>
        <v>0</v>
      </c>
    </row>
    <row r="151" spans="1:10" ht="12.75">
      <c r="A151" s="1314" t="s">
        <v>1032</v>
      </c>
      <c r="B151" s="1308" t="s">
        <v>1033</v>
      </c>
      <c r="C151" s="1310">
        <v>377177</v>
      </c>
      <c r="D151" s="1310">
        <v>7717502</v>
      </c>
      <c r="E151" s="1319">
        <v>564</v>
      </c>
      <c r="F151" s="1319">
        <v>564</v>
      </c>
      <c r="G151" s="1319">
        <v>2222356</v>
      </c>
      <c r="H151" s="1319">
        <v>1888966</v>
      </c>
      <c r="I151" s="1319">
        <f t="shared" si="4"/>
        <v>2600097</v>
      </c>
      <c r="J151" s="1319">
        <f t="shared" si="5"/>
        <v>9607032</v>
      </c>
    </row>
    <row r="152" spans="1:10" ht="25.5" hidden="1">
      <c r="A152" s="1314" t="s">
        <v>1034</v>
      </c>
      <c r="B152" s="1308" t="s">
        <v>1035</v>
      </c>
      <c r="C152" s="1310">
        <v>0</v>
      </c>
      <c r="D152" s="1310">
        <v>0</v>
      </c>
      <c r="E152" s="1319">
        <v>0</v>
      </c>
      <c r="F152" s="1319">
        <v>0</v>
      </c>
      <c r="G152" s="1319">
        <v>0</v>
      </c>
      <c r="H152" s="1319">
        <v>0</v>
      </c>
      <c r="I152" s="1319">
        <f t="shared" si="4"/>
        <v>0</v>
      </c>
      <c r="J152" s="1319">
        <f t="shared" si="5"/>
        <v>0</v>
      </c>
    </row>
    <row r="153" spans="1:10" ht="25.5">
      <c r="A153" s="1314" t="s">
        <v>1036</v>
      </c>
      <c r="B153" s="1308" t="s">
        <v>1037</v>
      </c>
      <c r="C153" s="1310">
        <v>0</v>
      </c>
      <c r="D153" s="1310">
        <v>7717374</v>
      </c>
      <c r="E153" s="1319">
        <v>0</v>
      </c>
      <c r="F153" s="1319">
        <v>0</v>
      </c>
      <c r="G153" s="1319">
        <v>0</v>
      </c>
      <c r="H153" s="1319">
        <v>0</v>
      </c>
      <c r="I153" s="1319">
        <f t="shared" si="4"/>
        <v>0</v>
      </c>
      <c r="J153" s="1319">
        <f t="shared" si="5"/>
        <v>7717374</v>
      </c>
    </row>
    <row r="154" spans="1:10" ht="12.75">
      <c r="A154" s="1314" t="s">
        <v>1038</v>
      </c>
      <c r="B154" s="1308" t="s">
        <v>1039</v>
      </c>
      <c r="C154" s="1310">
        <v>0</v>
      </c>
      <c r="D154" s="1310">
        <v>128</v>
      </c>
      <c r="E154" s="1319">
        <v>564</v>
      </c>
      <c r="F154" s="1319">
        <v>0</v>
      </c>
      <c r="G154" s="1319">
        <v>2222356</v>
      </c>
      <c r="H154" s="1319">
        <v>0</v>
      </c>
      <c r="I154" s="1319">
        <f t="shared" si="4"/>
        <v>2222920</v>
      </c>
      <c r="J154" s="1319">
        <f t="shared" si="5"/>
        <v>128</v>
      </c>
    </row>
    <row r="155" spans="1:10" ht="25.5">
      <c r="A155" s="1314" t="s">
        <v>1040</v>
      </c>
      <c r="B155" s="1308" t="s">
        <v>1041</v>
      </c>
      <c r="C155" s="1310">
        <v>377177</v>
      </c>
      <c r="D155" s="1310">
        <v>0</v>
      </c>
      <c r="E155" s="1319">
        <v>0</v>
      </c>
      <c r="F155" s="1319">
        <v>0</v>
      </c>
      <c r="G155" s="1319">
        <v>0</v>
      </c>
      <c r="H155" s="1319">
        <v>0</v>
      </c>
      <c r="I155" s="1319">
        <f t="shared" si="4"/>
        <v>377177</v>
      </c>
      <c r="J155" s="1319">
        <f t="shared" si="5"/>
        <v>0</v>
      </c>
    </row>
    <row r="156" spans="1:10" ht="25.5">
      <c r="A156" s="1314" t="s">
        <v>1042</v>
      </c>
      <c r="B156" s="1308" t="s">
        <v>1043</v>
      </c>
      <c r="C156" s="1310">
        <v>0</v>
      </c>
      <c r="D156" s="1310">
        <v>0</v>
      </c>
      <c r="E156" s="1319">
        <v>0</v>
      </c>
      <c r="F156" s="1319">
        <v>564</v>
      </c>
      <c r="G156" s="1319">
        <v>0</v>
      </c>
      <c r="H156" s="1319">
        <v>1888966</v>
      </c>
      <c r="I156" s="1319">
        <f t="shared" si="4"/>
        <v>0</v>
      </c>
      <c r="J156" s="1319">
        <f t="shared" si="5"/>
        <v>1889530</v>
      </c>
    </row>
    <row r="157" spans="1:10" ht="25.5" hidden="1">
      <c r="A157" s="1314" t="s">
        <v>1044</v>
      </c>
      <c r="B157" s="1308" t="s">
        <v>1045</v>
      </c>
      <c r="C157" s="1310">
        <v>0</v>
      </c>
      <c r="D157" s="1310">
        <v>0</v>
      </c>
      <c r="E157" s="1319">
        <v>0</v>
      </c>
      <c r="F157" s="1319">
        <v>0</v>
      </c>
      <c r="G157" s="1319">
        <v>0</v>
      </c>
      <c r="H157" s="1319">
        <v>0</v>
      </c>
      <c r="I157" s="1319">
        <f t="shared" si="4"/>
        <v>0</v>
      </c>
      <c r="J157" s="1319">
        <f t="shared" si="5"/>
        <v>0</v>
      </c>
    </row>
    <row r="158" spans="1:10" ht="25.5" hidden="1">
      <c r="A158" s="1314" t="s">
        <v>1046</v>
      </c>
      <c r="B158" s="1308" t="s">
        <v>1047</v>
      </c>
      <c r="C158" s="1310">
        <v>0</v>
      </c>
      <c r="D158" s="1310">
        <v>0</v>
      </c>
      <c r="E158" s="1319">
        <v>0</v>
      </c>
      <c r="F158" s="1319">
        <v>0</v>
      </c>
      <c r="G158" s="1319">
        <v>0</v>
      </c>
      <c r="H158" s="1319">
        <v>0</v>
      </c>
      <c r="I158" s="1319">
        <f t="shared" si="4"/>
        <v>0</v>
      </c>
      <c r="J158" s="1319">
        <f t="shared" si="5"/>
        <v>0</v>
      </c>
    </row>
    <row r="159" spans="1:10" ht="25.5" hidden="1">
      <c r="A159" s="1314" t="s">
        <v>1048</v>
      </c>
      <c r="B159" s="1308" t="s">
        <v>1049</v>
      </c>
      <c r="C159" s="1310">
        <v>0</v>
      </c>
      <c r="D159" s="1310">
        <v>0</v>
      </c>
      <c r="E159" s="1319">
        <v>0</v>
      </c>
      <c r="F159" s="1319">
        <v>0</v>
      </c>
      <c r="G159" s="1319">
        <v>0</v>
      </c>
      <c r="H159" s="1319">
        <v>0</v>
      </c>
      <c r="I159" s="1319">
        <f t="shared" si="4"/>
        <v>0</v>
      </c>
      <c r="J159" s="1319">
        <f t="shared" si="5"/>
        <v>0</v>
      </c>
    </row>
    <row r="160" spans="1:10" ht="12.75">
      <c r="A160" s="1314" t="s">
        <v>1050</v>
      </c>
      <c r="B160" s="1308" t="s">
        <v>1051</v>
      </c>
      <c r="C160" s="1310">
        <v>170000</v>
      </c>
      <c r="D160" s="1310">
        <v>70000</v>
      </c>
      <c r="E160" s="1319">
        <v>0</v>
      </c>
      <c r="F160" s="1319">
        <v>0</v>
      </c>
      <c r="G160" s="1319">
        <v>0</v>
      </c>
      <c r="H160" s="1319">
        <v>0</v>
      </c>
      <c r="I160" s="1319">
        <f t="shared" si="4"/>
        <v>170000</v>
      </c>
      <c r="J160" s="1319">
        <f t="shared" si="5"/>
        <v>70000</v>
      </c>
    </row>
    <row r="161" spans="1:10" ht="38.25">
      <c r="A161" s="1314" t="s">
        <v>1052</v>
      </c>
      <c r="B161" s="1308" t="s">
        <v>1053</v>
      </c>
      <c r="C161" s="1310">
        <v>66801174</v>
      </c>
      <c r="D161" s="1310">
        <v>66801174</v>
      </c>
      <c r="E161" s="1319">
        <v>0</v>
      </c>
      <c r="F161" s="1319">
        <v>0</v>
      </c>
      <c r="G161" s="1319">
        <v>0</v>
      </c>
      <c r="H161" s="1319">
        <v>0</v>
      </c>
      <c r="I161" s="1319">
        <f t="shared" si="4"/>
        <v>66801174</v>
      </c>
      <c r="J161" s="1319">
        <f t="shared" si="5"/>
        <v>66801174</v>
      </c>
    </row>
    <row r="162" spans="1:10" ht="38.25" hidden="1">
      <c r="A162" s="1314" t="s">
        <v>1054</v>
      </c>
      <c r="B162" s="1308" t="s">
        <v>1055</v>
      </c>
      <c r="C162" s="1310">
        <v>0</v>
      </c>
      <c r="D162" s="1310">
        <v>0</v>
      </c>
      <c r="E162" s="1319">
        <v>0</v>
      </c>
      <c r="F162" s="1319">
        <v>0</v>
      </c>
      <c r="G162" s="1319">
        <v>0</v>
      </c>
      <c r="H162" s="1319">
        <v>0</v>
      </c>
      <c r="I162" s="1319">
        <f t="shared" si="4"/>
        <v>0</v>
      </c>
      <c r="J162" s="1319">
        <f t="shared" si="5"/>
        <v>0</v>
      </c>
    </row>
    <row r="163" spans="1:10" ht="38.25" hidden="1">
      <c r="A163" s="1314" t="s">
        <v>1056</v>
      </c>
      <c r="B163" s="1308" t="s">
        <v>1057</v>
      </c>
      <c r="C163" s="1310">
        <v>0</v>
      </c>
      <c r="D163" s="1310">
        <v>0</v>
      </c>
      <c r="E163" s="1319">
        <v>0</v>
      </c>
      <c r="F163" s="1319">
        <v>0</v>
      </c>
      <c r="G163" s="1319">
        <v>0</v>
      </c>
      <c r="H163" s="1319">
        <v>0</v>
      </c>
      <c r="I163" s="1319">
        <f t="shared" si="4"/>
        <v>0</v>
      </c>
      <c r="J163" s="1319">
        <f t="shared" si="5"/>
        <v>0</v>
      </c>
    </row>
    <row r="164" spans="1:10" ht="25.5" hidden="1">
      <c r="A164" s="1314" t="s">
        <v>1058</v>
      </c>
      <c r="B164" s="1308" t="s">
        <v>1059</v>
      </c>
      <c r="C164" s="1310">
        <v>0</v>
      </c>
      <c r="D164" s="1310">
        <v>0</v>
      </c>
      <c r="E164" s="1319">
        <v>0</v>
      </c>
      <c r="F164" s="1319">
        <v>0</v>
      </c>
      <c r="G164" s="1319">
        <v>0</v>
      </c>
      <c r="H164" s="1319">
        <v>0</v>
      </c>
      <c r="I164" s="1319">
        <f t="shared" si="4"/>
        <v>0</v>
      </c>
      <c r="J164" s="1319">
        <f t="shared" si="5"/>
        <v>0</v>
      </c>
    </row>
    <row r="165" spans="1:10" ht="25.5" hidden="1">
      <c r="A165" s="1314" t="s">
        <v>1060</v>
      </c>
      <c r="B165" s="1308" t="s">
        <v>1061</v>
      </c>
      <c r="C165" s="1310">
        <v>0</v>
      </c>
      <c r="D165" s="1310">
        <v>0</v>
      </c>
      <c r="E165" s="1319">
        <v>0</v>
      </c>
      <c r="F165" s="1319">
        <v>0</v>
      </c>
      <c r="G165" s="1319">
        <v>0</v>
      </c>
      <c r="H165" s="1319">
        <v>0</v>
      </c>
      <c r="I165" s="1319">
        <f t="shared" si="4"/>
        <v>0</v>
      </c>
      <c r="J165" s="1319">
        <f t="shared" si="5"/>
        <v>0</v>
      </c>
    </row>
    <row r="166" spans="1:10" ht="25.5">
      <c r="A166" s="1315" t="s">
        <v>1062</v>
      </c>
      <c r="B166" s="1311" t="s">
        <v>1063</v>
      </c>
      <c r="C166" s="1313">
        <v>67348351</v>
      </c>
      <c r="D166" s="1313">
        <v>74588676</v>
      </c>
      <c r="E166" s="1320">
        <v>564</v>
      </c>
      <c r="F166" s="1320">
        <v>564</v>
      </c>
      <c r="G166" s="1320">
        <v>2222356</v>
      </c>
      <c r="H166" s="1320">
        <v>1888966</v>
      </c>
      <c r="I166" s="1320">
        <f t="shared" si="4"/>
        <v>69571271</v>
      </c>
      <c r="J166" s="1320">
        <f t="shared" si="5"/>
        <v>76478206</v>
      </c>
    </row>
    <row r="167" spans="1:10" ht="12.75">
      <c r="A167" s="1315" t="s">
        <v>1064</v>
      </c>
      <c r="B167" s="1311" t="s">
        <v>1065</v>
      </c>
      <c r="C167" s="1313">
        <v>76432161</v>
      </c>
      <c r="D167" s="1313">
        <v>80287809</v>
      </c>
      <c r="E167" s="1320">
        <v>564</v>
      </c>
      <c r="F167" s="1320">
        <v>564</v>
      </c>
      <c r="G167" s="1320">
        <v>2325326</v>
      </c>
      <c r="H167" s="1320">
        <v>1947484</v>
      </c>
      <c r="I167" s="1320">
        <f t="shared" si="4"/>
        <v>78758051</v>
      </c>
      <c r="J167" s="1320">
        <f t="shared" si="5"/>
        <v>82235857</v>
      </c>
    </row>
    <row r="168" spans="1:10" ht="25.5" hidden="1">
      <c r="A168" s="1314" t="s">
        <v>1066</v>
      </c>
      <c r="B168" s="1308" t="s">
        <v>1067</v>
      </c>
      <c r="C168" s="1310">
        <v>0</v>
      </c>
      <c r="D168" s="1310">
        <v>0</v>
      </c>
      <c r="E168" s="1319">
        <v>0</v>
      </c>
      <c r="F168" s="1319">
        <v>0</v>
      </c>
      <c r="G168" s="1319">
        <v>0</v>
      </c>
      <c r="H168" s="1319">
        <v>0</v>
      </c>
      <c r="I168" s="1319">
        <f t="shared" si="4"/>
        <v>0</v>
      </c>
      <c r="J168" s="1319">
        <f t="shared" si="5"/>
        <v>0</v>
      </c>
    </row>
    <row r="169" spans="1:10" ht="25.5">
      <c r="A169" s="1314" t="s">
        <v>1068</v>
      </c>
      <c r="B169" s="1308" t="s">
        <v>1069</v>
      </c>
      <c r="C169" s="1310">
        <v>0</v>
      </c>
      <c r="D169" s="1310">
        <v>0</v>
      </c>
      <c r="E169" s="1319">
        <v>0</v>
      </c>
      <c r="F169" s="1319">
        <v>0</v>
      </c>
      <c r="G169" s="1319">
        <v>0</v>
      </c>
      <c r="H169" s="1319">
        <v>342435</v>
      </c>
      <c r="I169" s="1319">
        <f t="shared" si="4"/>
        <v>0</v>
      </c>
      <c r="J169" s="1319">
        <f t="shared" si="5"/>
        <v>342435</v>
      </c>
    </row>
    <row r="170" spans="1:10" ht="38.25" hidden="1">
      <c r="A170" s="1314" t="s">
        <v>1070</v>
      </c>
      <c r="B170" s="1308" t="s">
        <v>1071</v>
      </c>
      <c r="C170" s="1310">
        <v>0</v>
      </c>
      <c r="D170" s="1310">
        <v>0</v>
      </c>
      <c r="E170" s="1319">
        <v>0</v>
      </c>
      <c r="F170" s="1319">
        <v>0</v>
      </c>
      <c r="G170" s="1319">
        <v>0</v>
      </c>
      <c r="H170" s="1319">
        <v>0</v>
      </c>
      <c r="I170" s="1319">
        <f t="shared" si="4"/>
        <v>0</v>
      </c>
      <c r="J170" s="1319">
        <f t="shared" si="5"/>
        <v>0</v>
      </c>
    </row>
    <row r="171" spans="1:10" ht="25.5" hidden="1">
      <c r="A171" s="1314" t="s">
        <v>1072</v>
      </c>
      <c r="B171" s="1308" t="s">
        <v>1073</v>
      </c>
      <c r="C171" s="1310">
        <v>0</v>
      </c>
      <c r="D171" s="1310">
        <v>0</v>
      </c>
      <c r="E171" s="1319">
        <v>0</v>
      </c>
      <c r="F171" s="1319">
        <v>0</v>
      </c>
      <c r="G171" s="1319">
        <v>0</v>
      </c>
      <c r="H171" s="1319">
        <v>0</v>
      </c>
      <c r="I171" s="1319">
        <f t="shared" si="4"/>
        <v>0</v>
      </c>
      <c r="J171" s="1319">
        <f t="shared" si="5"/>
        <v>0</v>
      </c>
    </row>
    <row r="172" spans="1:10" ht="25.5">
      <c r="A172" s="1315" t="s">
        <v>1074</v>
      </c>
      <c r="B172" s="1311" t="s">
        <v>1075</v>
      </c>
      <c r="C172" s="1313">
        <v>0</v>
      </c>
      <c r="D172" s="1313">
        <v>0</v>
      </c>
      <c r="E172" s="1320">
        <v>0</v>
      </c>
      <c r="F172" s="1320">
        <v>0</v>
      </c>
      <c r="G172" s="1320">
        <v>0</v>
      </c>
      <c r="H172" s="1320">
        <v>342435</v>
      </c>
      <c r="I172" s="1320">
        <f t="shared" si="4"/>
        <v>0</v>
      </c>
      <c r="J172" s="1320">
        <f t="shared" si="5"/>
        <v>342435</v>
      </c>
    </row>
    <row r="173" spans="1:10" ht="25.5" hidden="1">
      <c r="A173" s="1314" t="s">
        <v>1076</v>
      </c>
      <c r="B173" s="1308" t="s">
        <v>1077</v>
      </c>
      <c r="C173" s="1310">
        <v>0</v>
      </c>
      <c r="D173" s="1310">
        <v>0</v>
      </c>
      <c r="E173" s="1319">
        <v>0</v>
      </c>
      <c r="F173" s="1319">
        <v>0</v>
      </c>
      <c r="G173" s="1319">
        <v>0</v>
      </c>
      <c r="H173" s="1319">
        <v>0</v>
      </c>
      <c r="I173" s="1319">
        <f t="shared" si="4"/>
        <v>0</v>
      </c>
      <c r="J173" s="1319">
        <f t="shared" si="5"/>
        <v>0</v>
      </c>
    </row>
    <row r="174" spans="1:10" ht="12.75" hidden="1">
      <c r="A174" s="1314" t="s">
        <v>1078</v>
      </c>
      <c r="B174" s="1308" t="s">
        <v>1079</v>
      </c>
      <c r="C174" s="1310">
        <v>0</v>
      </c>
      <c r="D174" s="1310">
        <v>0</v>
      </c>
      <c r="E174" s="1319">
        <v>0</v>
      </c>
      <c r="F174" s="1319">
        <v>0</v>
      </c>
      <c r="G174" s="1319">
        <v>0</v>
      </c>
      <c r="H174" s="1319">
        <v>0</v>
      </c>
      <c r="I174" s="1319">
        <f t="shared" si="4"/>
        <v>0</v>
      </c>
      <c r="J174" s="1319">
        <f t="shared" si="5"/>
        <v>0</v>
      </c>
    </row>
    <row r="175" spans="1:10" ht="25.5" hidden="1">
      <c r="A175" s="1315" t="s">
        <v>1080</v>
      </c>
      <c r="B175" s="1311" t="s">
        <v>1081</v>
      </c>
      <c r="C175" s="1313">
        <v>0</v>
      </c>
      <c r="D175" s="1313">
        <v>0</v>
      </c>
      <c r="E175" s="1320">
        <v>0</v>
      </c>
      <c r="F175" s="1320">
        <v>0</v>
      </c>
      <c r="G175" s="1320">
        <v>0</v>
      </c>
      <c r="H175" s="1320">
        <v>0</v>
      </c>
      <c r="I175" s="1320">
        <f t="shared" si="4"/>
        <v>0</v>
      </c>
      <c r="J175" s="1320">
        <f t="shared" si="5"/>
        <v>0</v>
      </c>
    </row>
    <row r="176" spans="1:10" ht="25.5" hidden="1">
      <c r="A176" s="1314" t="s">
        <v>1082</v>
      </c>
      <c r="B176" s="1308" t="s">
        <v>1083</v>
      </c>
      <c r="C176" s="1310">
        <v>0</v>
      </c>
      <c r="D176" s="1310">
        <v>0</v>
      </c>
      <c r="E176" s="1319">
        <v>0</v>
      </c>
      <c r="F176" s="1319">
        <v>0</v>
      </c>
      <c r="G176" s="1319">
        <v>0</v>
      </c>
      <c r="H176" s="1319">
        <v>0</v>
      </c>
      <c r="I176" s="1319">
        <f t="shared" si="4"/>
        <v>0</v>
      </c>
      <c r="J176" s="1319">
        <f t="shared" si="5"/>
        <v>0</v>
      </c>
    </row>
    <row r="177" spans="1:10" ht="38.25" hidden="1">
      <c r="A177" s="1314" t="s">
        <v>1084</v>
      </c>
      <c r="B177" s="1308" t="s">
        <v>1085</v>
      </c>
      <c r="C177" s="1310">
        <v>0</v>
      </c>
      <c r="D177" s="1310">
        <v>0</v>
      </c>
      <c r="E177" s="1319">
        <v>0</v>
      </c>
      <c r="F177" s="1319">
        <v>0</v>
      </c>
      <c r="G177" s="1319">
        <v>0</v>
      </c>
      <c r="H177" s="1319">
        <v>0</v>
      </c>
      <c r="I177" s="1319">
        <f t="shared" si="4"/>
        <v>0</v>
      </c>
      <c r="J177" s="1319">
        <f t="shared" si="5"/>
        <v>0</v>
      </c>
    </row>
    <row r="178" spans="1:10" ht="25.5" hidden="1">
      <c r="A178" s="1315" t="s">
        <v>1086</v>
      </c>
      <c r="B178" s="1311" t="s">
        <v>1087</v>
      </c>
      <c r="C178" s="1313">
        <v>0</v>
      </c>
      <c r="D178" s="1313">
        <v>0</v>
      </c>
      <c r="E178" s="1320">
        <v>0</v>
      </c>
      <c r="F178" s="1320">
        <v>0</v>
      </c>
      <c r="G178" s="1320">
        <v>0</v>
      </c>
      <c r="H178" s="1320">
        <v>0</v>
      </c>
      <c r="I178" s="1320">
        <f t="shared" si="4"/>
        <v>0</v>
      </c>
      <c r="J178" s="1320">
        <f t="shared" si="5"/>
        <v>0</v>
      </c>
    </row>
    <row r="179" spans="1:10" ht="25.5">
      <c r="A179" s="1315" t="s">
        <v>1088</v>
      </c>
      <c r="B179" s="1311" t="s">
        <v>1089</v>
      </c>
      <c r="C179" s="1313">
        <v>0</v>
      </c>
      <c r="D179" s="1313">
        <v>0</v>
      </c>
      <c r="E179" s="1320">
        <v>0</v>
      </c>
      <c r="F179" s="1320">
        <v>0</v>
      </c>
      <c r="G179" s="1320">
        <v>0</v>
      </c>
      <c r="H179" s="1320">
        <v>342435</v>
      </c>
      <c r="I179" s="1320">
        <f t="shared" si="4"/>
        <v>0</v>
      </c>
      <c r="J179" s="1320">
        <f t="shared" si="5"/>
        <v>342435</v>
      </c>
    </row>
    <row r="180" spans="1:10" ht="25.5" hidden="1">
      <c r="A180" s="1314" t="s">
        <v>1090</v>
      </c>
      <c r="B180" s="1308" t="s">
        <v>1091</v>
      </c>
      <c r="C180" s="1310">
        <v>0</v>
      </c>
      <c r="D180" s="1310">
        <v>0</v>
      </c>
      <c r="E180" s="1319">
        <v>0</v>
      </c>
      <c r="F180" s="1319">
        <v>0</v>
      </c>
      <c r="G180" s="1319">
        <v>0</v>
      </c>
      <c r="H180" s="1319">
        <v>0</v>
      </c>
      <c r="I180" s="1319">
        <f t="shared" si="4"/>
        <v>0</v>
      </c>
      <c r="J180" s="1319">
        <f t="shared" si="5"/>
        <v>0</v>
      </c>
    </row>
    <row r="181" spans="1:10" ht="25.5" hidden="1">
      <c r="A181" s="1314" t="s">
        <v>1092</v>
      </c>
      <c r="B181" s="1308" t="s">
        <v>1093</v>
      </c>
      <c r="C181" s="1310">
        <v>0</v>
      </c>
      <c r="D181" s="1310">
        <v>0</v>
      </c>
      <c r="E181" s="1319">
        <v>0</v>
      </c>
      <c r="F181" s="1319">
        <v>0</v>
      </c>
      <c r="G181" s="1319">
        <v>0</v>
      </c>
      <c r="H181" s="1319">
        <v>0</v>
      </c>
      <c r="I181" s="1319">
        <f t="shared" si="4"/>
        <v>0</v>
      </c>
      <c r="J181" s="1319">
        <f t="shared" si="5"/>
        <v>0</v>
      </c>
    </row>
    <row r="182" spans="1:10" ht="12.75" hidden="1">
      <c r="A182" s="1314" t="s">
        <v>1094</v>
      </c>
      <c r="B182" s="1308" t="s">
        <v>1095</v>
      </c>
      <c r="C182" s="1310">
        <v>0</v>
      </c>
      <c r="D182" s="1310">
        <v>0</v>
      </c>
      <c r="E182" s="1319">
        <v>0</v>
      </c>
      <c r="F182" s="1319">
        <v>0</v>
      </c>
      <c r="G182" s="1319">
        <v>0</v>
      </c>
      <c r="H182" s="1319">
        <v>0</v>
      </c>
      <c r="I182" s="1319">
        <f t="shared" si="4"/>
        <v>0</v>
      </c>
      <c r="J182" s="1319">
        <f t="shared" si="5"/>
        <v>0</v>
      </c>
    </row>
    <row r="183" spans="1:10" ht="25.5" hidden="1">
      <c r="A183" s="1315" t="s">
        <v>1096</v>
      </c>
      <c r="B183" s="1311" t="s">
        <v>1097</v>
      </c>
      <c r="C183" s="1313">
        <v>0</v>
      </c>
      <c r="D183" s="1313">
        <v>0</v>
      </c>
      <c r="E183" s="1320">
        <v>0</v>
      </c>
      <c r="F183" s="1320">
        <v>0</v>
      </c>
      <c r="G183" s="1320">
        <v>0</v>
      </c>
      <c r="H183" s="1320">
        <v>0</v>
      </c>
      <c r="I183" s="1320">
        <f t="shared" si="4"/>
        <v>0</v>
      </c>
      <c r="J183" s="1320">
        <f t="shared" si="5"/>
        <v>0</v>
      </c>
    </row>
    <row r="184" spans="1:10" ht="12.75">
      <c r="A184" s="1315" t="s">
        <v>1098</v>
      </c>
      <c r="B184" s="1311" t="s">
        <v>1099</v>
      </c>
      <c r="C184" s="1313">
        <v>1324854069</v>
      </c>
      <c r="D184" s="1313">
        <v>1662282762</v>
      </c>
      <c r="E184" s="1320">
        <v>1041722</v>
      </c>
      <c r="F184" s="1320">
        <v>1210437</v>
      </c>
      <c r="G184" s="1320">
        <v>6054106</v>
      </c>
      <c r="H184" s="1320">
        <v>5466392</v>
      </c>
      <c r="I184" s="1320">
        <f t="shared" si="4"/>
        <v>1331949897</v>
      </c>
      <c r="J184" s="1320">
        <f t="shared" si="5"/>
        <v>1668959591</v>
      </c>
    </row>
    <row r="185" spans="1:10" ht="12.75">
      <c r="A185" s="1314" t="s">
        <v>1100</v>
      </c>
      <c r="B185" s="1308" t="s">
        <v>1101</v>
      </c>
      <c r="C185" s="1310">
        <v>605374421</v>
      </c>
      <c r="D185" s="1310">
        <v>605374421</v>
      </c>
      <c r="E185" s="1319">
        <v>2204204</v>
      </c>
      <c r="F185" s="1319">
        <v>2204204</v>
      </c>
      <c r="G185" s="1319">
        <v>0</v>
      </c>
      <c r="H185" s="1319">
        <v>0</v>
      </c>
      <c r="I185" s="1319">
        <f t="shared" si="4"/>
        <v>607578625</v>
      </c>
      <c r="J185" s="1319">
        <f t="shared" si="5"/>
        <v>607578625</v>
      </c>
    </row>
    <row r="186" spans="1:10" ht="12.75">
      <c r="A186" s="1314" t="s">
        <v>1102</v>
      </c>
      <c r="B186" s="1308" t="s">
        <v>1103</v>
      </c>
      <c r="C186" s="1310">
        <v>66801174</v>
      </c>
      <c r="D186" s="1310">
        <v>180261334</v>
      </c>
      <c r="E186" s="1319">
        <v>0</v>
      </c>
      <c r="F186" s="1319">
        <v>0</v>
      </c>
      <c r="G186" s="1319">
        <v>0</v>
      </c>
      <c r="H186" s="1319">
        <v>0</v>
      </c>
      <c r="I186" s="1319">
        <f t="shared" si="4"/>
        <v>66801174</v>
      </c>
      <c r="J186" s="1319">
        <f t="shared" si="5"/>
        <v>180261334</v>
      </c>
    </row>
    <row r="187" spans="1:10" ht="25.5" hidden="1">
      <c r="A187" s="1314" t="s">
        <v>1104</v>
      </c>
      <c r="B187" s="1308" t="s">
        <v>1105</v>
      </c>
      <c r="C187" s="1310">
        <v>0</v>
      </c>
      <c r="D187" s="1310">
        <v>0</v>
      </c>
      <c r="E187" s="1319">
        <v>0</v>
      </c>
      <c r="F187" s="1319">
        <v>0</v>
      </c>
      <c r="G187" s="1319">
        <v>0</v>
      </c>
      <c r="H187" s="1319">
        <v>0</v>
      </c>
      <c r="I187" s="1319">
        <f t="shared" si="4"/>
        <v>0</v>
      </c>
      <c r="J187" s="1319">
        <f t="shared" si="5"/>
        <v>0</v>
      </c>
    </row>
    <row r="188" spans="1:10" ht="38.25" hidden="1">
      <c r="A188" s="1314" t="s">
        <v>1106</v>
      </c>
      <c r="B188" s="1308" t="s">
        <v>1107</v>
      </c>
      <c r="C188" s="1310">
        <v>0</v>
      </c>
      <c r="D188" s="1310">
        <v>0</v>
      </c>
      <c r="E188" s="1319">
        <v>0</v>
      </c>
      <c r="F188" s="1319">
        <v>0</v>
      </c>
      <c r="G188" s="1319">
        <v>0</v>
      </c>
      <c r="H188" s="1319">
        <v>0</v>
      </c>
      <c r="I188" s="1319">
        <f t="shared" si="4"/>
        <v>0</v>
      </c>
      <c r="J188" s="1319">
        <f t="shared" si="5"/>
        <v>0</v>
      </c>
    </row>
    <row r="189" spans="1:10" ht="25.5">
      <c r="A189" s="1314" t="s">
        <v>1108</v>
      </c>
      <c r="B189" s="1308" t="s">
        <v>1109</v>
      </c>
      <c r="C189" s="1310">
        <v>81973873</v>
      </c>
      <c r="D189" s="1310">
        <v>81973873</v>
      </c>
      <c r="E189" s="1319">
        <v>14503886</v>
      </c>
      <c r="F189" s="1319">
        <v>14503886</v>
      </c>
      <c r="G189" s="1319">
        <v>17445000</v>
      </c>
      <c r="H189" s="1319">
        <v>17445000</v>
      </c>
      <c r="I189" s="1319">
        <f t="shared" si="4"/>
        <v>113922759</v>
      </c>
      <c r="J189" s="1319">
        <f t="shared" si="5"/>
        <v>113922759</v>
      </c>
    </row>
    <row r="190" spans="1:10" ht="25.5">
      <c r="A190" s="1315" t="s">
        <v>1110</v>
      </c>
      <c r="B190" s="1311" t="s">
        <v>1111</v>
      </c>
      <c r="C190" s="1313">
        <v>81973873</v>
      </c>
      <c r="D190" s="1313">
        <v>81973873</v>
      </c>
      <c r="E190" s="1320">
        <v>14503886</v>
      </c>
      <c r="F190" s="1320">
        <v>14503886</v>
      </c>
      <c r="G190" s="1320">
        <v>17445000</v>
      </c>
      <c r="H190" s="1320">
        <v>17445000</v>
      </c>
      <c r="I190" s="1320">
        <f t="shared" si="4"/>
        <v>113922759</v>
      </c>
      <c r="J190" s="1320">
        <f t="shared" si="5"/>
        <v>113922759</v>
      </c>
    </row>
    <row r="191" spans="1:10" ht="12.75">
      <c r="A191" s="1314" t="s">
        <v>1112</v>
      </c>
      <c r="B191" s="1308" t="s">
        <v>1113</v>
      </c>
      <c r="C191" s="1310">
        <v>568983500</v>
      </c>
      <c r="D191" s="1310">
        <v>549908330</v>
      </c>
      <c r="E191" s="1319">
        <v>-16138259</v>
      </c>
      <c r="F191" s="1319">
        <v>-20724111</v>
      </c>
      <c r="G191" s="1319">
        <v>-10327127</v>
      </c>
      <c r="H191" s="1319">
        <v>-17380467</v>
      </c>
      <c r="I191" s="1319">
        <f t="shared" si="4"/>
        <v>542518114</v>
      </c>
      <c r="J191" s="1319">
        <f t="shared" si="5"/>
        <v>511803752</v>
      </c>
    </row>
    <row r="192" spans="1:10" ht="12.75">
      <c r="A192" s="1314" t="s">
        <v>1114</v>
      </c>
      <c r="B192" s="1308" t="s">
        <v>1115</v>
      </c>
      <c r="C192" s="1310">
        <v>0</v>
      </c>
      <c r="D192" s="1310">
        <v>0</v>
      </c>
      <c r="E192" s="1319">
        <v>0</v>
      </c>
      <c r="F192" s="1319">
        <v>0</v>
      </c>
      <c r="G192" s="1319">
        <v>0</v>
      </c>
      <c r="H192" s="1319">
        <v>0</v>
      </c>
      <c r="I192" s="1319">
        <f t="shared" si="4"/>
        <v>0</v>
      </c>
      <c r="J192" s="1319">
        <f t="shared" si="5"/>
        <v>0</v>
      </c>
    </row>
    <row r="193" spans="1:10" ht="12.75">
      <c r="A193" s="1314" t="s">
        <v>1116</v>
      </c>
      <c r="B193" s="1308" t="s">
        <v>1117</v>
      </c>
      <c r="C193" s="1310">
        <v>-19075170</v>
      </c>
      <c r="D193" s="1310">
        <v>226014653</v>
      </c>
      <c r="E193" s="1319">
        <v>-4585852</v>
      </c>
      <c r="F193" s="1319">
        <v>-1508203</v>
      </c>
      <c r="G193" s="1319">
        <v>-7053340</v>
      </c>
      <c r="H193" s="1319">
        <v>-1035640</v>
      </c>
      <c r="I193" s="1319">
        <f t="shared" si="4"/>
        <v>-30714362</v>
      </c>
      <c r="J193" s="1319">
        <f t="shared" si="5"/>
        <v>223470810</v>
      </c>
    </row>
    <row r="194" spans="1:10" ht="12.75">
      <c r="A194" s="1315" t="s">
        <v>1118</v>
      </c>
      <c r="B194" s="1311" t="s">
        <v>1119</v>
      </c>
      <c r="C194" s="1313">
        <v>1304057798</v>
      </c>
      <c r="D194" s="1313">
        <v>1643532611</v>
      </c>
      <c r="E194" s="1320">
        <v>-4016021</v>
      </c>
      <c r="F194" s="1320">
        <v>-5524224</v>
      </c>
      <c r="G194" s="1320">
        <v>64533</v>
      </c>
      <c r="H194" s="1320">
        <v>-971107</v>
      </c>
      <c r="I194" s="1320">
        <f t="shared" si="4"/>
        <v>1300106310</v>
      </c>
      <c r="J194" s="1320">
        <f t="shared" si="5"/>
        <v>1637037280</v>
      </c>
    </row>
    <row r="195" spans="1:10" ht="25.5" hidden="1">
      <c r="A195" s="1314" t="s">
        <v>1120</v>
      </c>
      <c r="B195" s="1308" t="s">
        <v>1121</v>
      </c>
      <c r="C195" s="1310">
        <v>0</v>
      </c>
      <c r="D195" s="1310">
        <v>0</v>
      </c>
      <c r="E195" s="1319">
        <v>0</v>
      </c>
      <c r="F195" s="1319">
        <v>0</v>
      </c>
      <c r="G195" s="1319">
        <v>0</v>
      </c>
      <c r="H195" s="1319">
        <v>0</v>
      </c>
      <c r="I195" s="1319">
        <f t="shared" si="4"/>
        <v>0</v>
      </c>
      <c r="J195" s="1319">
        <f t="shared" si="5"/>
        <v>0</v>
      </c>
    </row>
    <row r="196" spans="1:10" ht="38.25" hidden="1">
      <c r="A196" s="1314" t="s">
        <v>1122</v>
      </c>
      <c r="B196" s="1308" t="s">
        <v>1123</v>
      </c>
      <c r="C196" s="1310">
        <v>0</v>
      </c>
      <c r="D196" s="1310">
        <v>0</v>
      </c>
      <c r="E196" s="1319">
        <v>0</v>
      </c>
      <c r="F196" s="1319">
        <v>0</v>
      </c>
      <c r="G196" s="1319">
        <v>0</v>
      </c>
      <c r="H196" s="1319">
        <v>0</v>
      </c>
      <c r="I196" s="1319">
        <f t="shared" si="4"/>
        <v>0</v>
      </c>
      <c r="J196" s="1319">
        <f t="shared" si="5"/>
        <v>0</v>
      </c>
    </row>
    <row r="197" spans="1:10" ht="25.5">
      <c r="A197" s="1314" t="s">
        <v>1124</v>
      </c>
      <c r="B197" s="1308" t="s">
        <v>1125</v>
      </c>
      <c r="C197" s="1310">
        <v>419227</v>
      </c>
      <c r="D197" s="1310">
        <v>0</v>
      </c>
      <c r="E197" s="1319">
        <v>0</v>
      </c>
      <c r="F197" s="1319">
        <v>0</v>
      </c>
      <c r="G197" s="1319">
        <v>0</v>
      </c>
      <c r="H197" s="1319">
        <v>0</v>
      </c>
      <c r="I197" s="1319">
        <f t="shared" si="4"/>
        <v>419227</v>
      </c>
      <c r="J197" s="1319">
        <f t="shared" si="5"/>
        <v>0</v>
      </c>
    </row>
    <row r="198" spans="1:10" ht="25.5" hidden="1">
      <c r="A198" s="1314" t="s">
        <v>1126</v>
      </c>
      <c r="B198" s="1308" t="s">
        <v>1127</v>
      </c>
      <c r="C198" s="1310">
        <v>0</v>
      </c>
      <c r="D198" s="1310">
        <v>0</v>
      </c>
      <c r="E198" s="1319">
        <v>0</v>
      </c>
      <c r="F198" s="1319">
        <v>0</v>
      </c>
      <c r="G198" s="1319">
        <v>0</v>
      </c>
      <c r="H198" s="1319">
        <v>0</v>
      </c>
      <c r="I198" s="1319">
        <f t="shared" si="4"/>
        <v>0</v>
      </c>
      <c r="J198" s="1319">
        <f t="shared" si="5"/>
        <v>0</v>
      </c>
    </row>
    <row r="199" spans="1:10" ht="38.25" hidden="1">
      <c r="A199" s="1314" t="s">
        <v>1128</v>
      </c>
      <c r="B199" s="1308" t="s">
        <v>1129</v>
      </c>
      <c r="C199" s="1310">
        <v>0</v>
      </c>
      <c r="D199" s="1310">
        <v>0</v>
      </c>
      <c r="E199" s="1319">
        <v>0</v>
      </c>
      <c r="F199" s="1319">
        <v>0</v>
      </c>
      <c r="G199" s="1319">
        <v>0</v>
      </c>
      <c r="H199" s="1319">
        <v>0</v>
      </c>
      <c r="I199" s="1319">
        <f t="shared" si="4"/>
        <v>0</v>
      </c>
      <c r="J199" s="1319">
        <f t="shared" si="5"/>
        <v>0</v>
      </c>
    </row>
    <row r="200" spans="1:10" ht="51" hidden="1">
      <c r="A200" s="1314" t="s">
        <v>1130</v>
      </c>
      <c r="B200" s="1308" t="s">
        <v>1131</v>
      </c>
      <c r="C200" s="1310">
        <v>0</v>
      </c>
      <c r="D200" s="1310">
        <v>0</v>
      </c>
      <c r="E200" s="1319">
        <v>0</v>
      </c>
      <c r="F200" s="1319">
        <v>0</v>
      </c>
      <c r="G200" s="1319">
        <v>0</v>
      </c>
      <c r="H200" s="1319">
        <v>0</v>
      </c>
      <c r="I200" s="1319">
        <f t="shared" si="4"/>
        <v>0</v>
      </c>
      <c r="J200" s="1319">
        <f t="shared" si="5"/>
        <v>0</v>
      </c>
    </row>
    <row r="201" spans="1:10" ht="38.25" hidden="1">
      <c r="A201" s="1314" t="s">
        <v>1132</v>
      </c>
      <c r="B201" s="1308" t="s">
        <v>1133</v>
      </c>
      <c r="C201" s="1310">
        <v>0</v>
      </c>
      <c r="D201" s="1310">
        <v>0</v>
      </c>
      <c r="E201" s="1319">
        <v>0</v>
      </c>
      <c r="F201" s="1319">
        <v>0</v>
      </c>
      <c r="G201" s="1319">
        <v>0</v>
      </c>
      <c r="H201" s="1319">
        <v>0</v>
      </c>
      <c r="I201" s="1319">
        <f t="shared" si="4"/>
        <v>0</v>
      </c>
      <c r="J201" s="1319">
        <f t="shared" si="5"/>
        <v>0</v>
      </c>
    </row>
    <row r="202" spans="1:10" ht="25.5" hidden="1">
      <c r="A202" s="1314" t="s">
        <v>1134</v>
      </c>
      <c r="B202" s="1308" t="s">
        <v>1135</v>
      </c>
      <c r="C202" s="1310">
        <v>0</v>
      </c>
      <c r="D202" s="1310">
        <v>0</v>
      </c>
      <c r="E202" s="1319">
        <v>0</v>
      </c>
      <c r="F202" s="1319">
        <v>0</v>
      </c>
      <c r="G202" s="1319">
        <v>0</v>
      </c>
      <c r="H202" s="1319">
        <v>0</v>
      </c>
      <c r="I202" s="1319">
        <f aca="true" t="shared" si="6" ref="I202:I262">+C202+E202+G202</f>
        <v>0</v>
      </c>
      <c r="J202" s="1319">
        <f aca="true" t="shared" si="7" ref="J202:J262">+D202+F202+H202</f>
        <v>0</v>
      </c>
    </row>
    <row r="203" spans="1:10" ht="25.5" hidden="1">
      <c r="A203" s="1314" t="s">
        <v>1136</v>
      </c>
      <c r="B203" s="1308" t="s">
        <v>1137</v>
      </c>
      <c r="C203" s="1310">
        <v>0</v>
      </c>
      <c r="D203" s="1310">
        <v>0</v>
      </c>
      <c r="E203" s="1319">
        <v>0</v>
      </c>
      <c r="F203" s="1319">
        <v>0</v>
      </c>
      <c r="G203" s="1319">
        <v>0</v>
      </c>
      <c r="H203" s="1319">
        <v>0</v>
      </c>
      <c r="I203" s="1319">
        <f t="shared" si="6"/>
        <v>0</v>
      </c>
      <c r="J203" s="1319">
        <f t="shared" si="7"/>
        <v>0</v>
      </c>
    </row>
    <row r="204" spans="1:10" ht="38.25" hidden="1">
      <c r="A204" s="1314" t="s">
        <v>1138</v>
      </c>
      <c r="B204" s="1308" t="s">
        <v>1139</v>
      </c>
      <c r="C204" s="1310">
        <v>0</v>
      </c>
      <c r="D204" s="1310">
        <v>0</v>
      </c>
      <c r="E204" s="1319">
        <v>0</v>
      </c>
      <c r="F204" s="1319">
        <v>0</v>
      </c>
      <c r="G204" s="1319">
        <v>0</v>
      </c>
      <c r="H204" s="1319">
        <v>0</v>
      </c>
      <c r="I204" s="1319">
        <f t="shared" si="6"/>
        <v>0</v>
      </c>
      <c r="J204" s="1319">
        <f t="shared" si="7"/>
        <v>0</v>
      </c>
    </row>
    <row r="205" spans="1:10" ht="51" hidden="1">
      <c r="A205" s="1314" t="s">
        <v>1140</v>
      </c>
      <c r="B205" s="1308" t="s">
        <v>1141</v>
      </c>
      <c r="C205" s="1310">
        <v>0</v>
      </c>
      <c r="D205" s="1310">
        <v>0</v>
      </c>
      <c r="E205" s="1319">
        <v>0</v>
      </c>
      <c r="F205" s="1319">
        <v>0</v>
      </c>
      <c r="G205" s="1319">
        <v>0</v>
      </c>
      <c r="H205" s="1319">
        <v>0</v>
      </c>
      <c r="I205" s="1319">
        <f t="shared" si="6"/>
        <v>0</v>
      </c>
      <c r="J205" s="1319">
        <f t="shared" si="7"/>
        <v>0</v>
      </c>
    </row>
    <row r="206" spans="1:10" ht="38.25" hidden="1">
      <c r="A206" s="1314" t="s">
        <v>1142</v>
      </c>
      <c r="B206" s="1308" t="s">
        <v>1143</v>
      </c>
      <c r="C206" s="1310">
        <v>0</v>
      </c>
      <c r="D206" s="1310">
        <v>0</v>
      </c>
      <c r="E206" s="1319">
        <v>0</v>
      </c>
      <c r="F206" s="1319">
        <v>0</v>
      </c>
      <c r="G206" s="1319">
        <v>0</v>
      </c>
      <c r="H206" s="1319">
        <v>0</v>
      </c>
      <c r="I206" s="1319">
        <f t="shared" si="6"/>
        <v>0</v>
      </c>
      <c r="J206" s="1319">
        <f t="shared" si="7"/>
        <v>0</v>
      </c>
    </row>
    <row r="207" spans="1:10" ht="38.25" hidden="1">
      <c r="A207" s="1314" t="s">
        <v>1144</v>
      </c>
      <c r="B207" s="1308" t="s">
        <v>1145</v>
      </c>
      <c r="C207" s="1310">
        <v>0</v>
      </c>
      <c r="D207" s="1310">
        <v>0</v>
      </c>
      <c r="E207" s="1319">
        <v>0</v>
      </c>
      <c r="F207" s="1319">
        <v>0</v>
      </c>
      <c r="G207" s="1319">
        <v>0</v>
      </c>
      <c r="H207" s="1319">
        <v>0</v>
      </c>
      <c r="I207" s="1319">
        <f t="shared" si="6"/>
        <v>0</v>
      </c>
      <c r="J207" s="1319">
        <f t="shared" si="7"/>
        <v>0</v>
      </c>
    </row>
    <row r="208" spans="1:10" ht="51" hidden="1">
      <c r="A208" s="1314" t="s">
        <v>1146</v>
      </c>
      <c r="B208" s="1308" t="s">
        <v>1147</v>
      </c>
      <c r="C208" s="1310">
        <v>0</v>
      </c>
      <c r="D208" s="1310">
        <v>0</v>
      </c>
      <c r="E208" s="1319">
        <v>0</v>
      </c>
      <c r="F208" s="1319">
        <v>0</v>
      </c>
      <c r="G208" s="1319">
        <v>0</v>
      </c>
      <c r="H208" s="1319">
        <v>0</v>
      </c>
      <c r="I208" s="1319">
        <f t="shared" si="6"/>
        <v>0</v>
      </c>
      <c r="J208" s="1319">
        <f t="shared" si="7"/>
        <v>0</v>
      </c>
    </row>
    <row r="209" spans="1:10" ht="51" hidden="1">
      <c r="A209" s="1314" t="s">
        <v>1148</v>
      </c>
      <c r="B209" s="1308" t="s">
        <v>1149</v>
      </c>
      <c r="C209" s="1310">
        <v>0</v>
      </c>
      <c r="D209" s="1310">
        <v>0</v>
      </c>
      <c r="E209" s="1319">
        <v>0</v>
      </c>
      <c r="F209" s="1319">
        <v>0</v>
      </c>
      <c r="G209" s="1319">
        <v>0</v>
      </c>
      <c r="H209" s="1319">
        <v>0</v>
      </c>
      <c r="I209" s="1319">
        <f t="shared" si="6"/>
        <v>0</v>
      </c>
      <c r="J209" s="1319">
        <f t="shared" si="7"/>
        <v>0</v>
      </c>
    </row>
    <row r="210" spans="1:10" ht="25.5" hidden="1">
      <c r="A210" s="1314" t="s">
        <v>1150</v>
      </c>
      <c r="B210" s="1308" t="s">
        <v>1151</v>
      </c>
      <c r="C210" s="1310">
        <v>0</v>
      </c>
      <c r="D210" s="1310">
        <v>0</v>
      </c>
      <c r="E210" s="1319">
        <v>0</v>
      </c>
      <c r="F210" s="1319">
        <v>0</v>
      </c>
      <c r="G210" s="1319">
        <v>0</v>
      </c>
      <c r="H210" s="1319">
        <v>0</v>
      </c>
      <c r="I210" s="1319">
        <f t="shared" si="6"/>
        <v>0</v>
      </c>
      <c r="J210" s="1319">
        <f t="shared" si="7"/>
        <v>0</v>
      </c>
    </row>
    <row r="211" spans="1:10" ht="38.25" hidden="1">
      <c r="A211" s="1314" t="s">
        <v>1152</v>
      </c>
      <c r="B211" s="1308" t="s">
        <v>1153</v>
      </c>
      <c r="C211" s="1310">
        <v>0</v>
      </c>
      <c r="D211" s="1310">
        <v>0</v>
      </c>
      <c r="E211" s="1319">
        <v>0</v>
      </c>
      <c r="F211" s="1319">
        <v>0</v>
      </c>
      <c r="G211" s="1319">
        <v>0</v>
      </c>
      <c r="H211" s="1319">
        <v>0</v>
      </c>
      <c r="I211" s="1319">
        <f t="shared" si="6"/>
        <v>0</v>
      </c>
      <c r="J211" s="1319">
        <f t="shared" si="7"/>
        <v>0</v>
      </c>
    </row>
    <row r="212" spans="1:10" ht="25.5" hidden="1">
      <c r="A212" s="1314" t="s">
        <v>1154</v>
      </c>
      <c r="B212" s="1308" t="s">
        <v>1155</v>
      </c>
      <c r="C212" s="1310">
        <v>0</v>
      </c>
      <c r="D212" s="1310">
        <v>0</v>
      </c>
      <c r="E212" s="1319">
        <v>0</v>
      </c>
      <c r="F212" s="1319">
        <v>0</v>
      </c>
      <c r="G212" s="1319">
        <v>0</v>
      </c>
      <c r="H212" s="1319">
        <v>0</v>
      </c>
      <c r="I212" s="1319">
        <f t="shared" si="6"/>
        <v>0</v>
      </c>
      <c r="J212" s="1319">
        <f t="shared" si="7"/>
        <v>0</v>
      </c>
    </row>
    <row r="213" spans="1:10" ht="38.25" hidden="1">
      <c r="A213" s="1314" t="s">
        <v>1156</v>
      </c>
      <c r="B213" s="1308" t="s">
        <v>1157</v>
      </c>
      <c r="C213" s="1310">
        <v>0</v>
      </c>
      <c r="D213" s="1310">
        <v>0</v>
      </c>
      <c r="E213" s="1319">
        <v>0</v>
      </c>
      <c r="F213" s="1319">
        <v>0</v>
      </c>
      <c r="G213" s="1319">
        <v>0</v>
      </c>
      <c r="H213" s="1319">
        <v>0</v>
      </c>
      <c r="I213" s="1319">
        <f t="shared" si="6"/>
        <v>0</v>
      </c>
      <c r="J213" s="1319">
        <f t="shared" si="7"/>
        <v>0</v>
      </c>
    </row>
    <row r="214" spans="1:10" ht="38.25" hidden="1">
      <c r="A214" s="1314" t="s">
        <v>1158</v>
      </c>
      <c r="B214" s="1308" t="s">
        <v>1159</v>
      </c>
      <c r="C214" s="1310">
        <v>0</v>
      </c>
      <c r="D214" s="1310">
        <v>0</v>
      </c>
      <c r="E214" s="1319">
        <v>0</v>
      </c>
      <c r="F214" s="1319">
        <v>0</v>
      </c>
      <c r="G214" s="1319">
        <v>0</v>
      </c>
      <c r="H214" s="1319">
        <v>0</v>
      </c>
      <c r="I214" s="1319">
        <f t="shared" si="6"/>
        <v>0</v>
      </c>
      <c r="J214" s="1319">
        <f t="shared" si="7"/>
        <v>0</v>
      </c>
    </row>
    <row r="215" spans="1:10" ht="25.5" hidden="1">
      <c r="A215" s="1314" t="s">
        <v>1160</v>
      </c>
      <c r="B215" s="1308" t="s">
        <v>1161</v>
      </c>
      <c r="C215" s="1310">
        <v>0</v>
      </c>
      <c r="D215" s="1310">
        <v>0</v>
      </c>
      <c r="E215" s="1319">
        <v>0</v>
      </c>
      <c r="F215" s="1319">
        <v>0</v>
      </c>
      <c r="G215" s="1319">
        <v>0</v>
      </c>
      <c r="H215" s="1319">
        <v>0</v>
      </c>
      <c r="I215" s="1319">
        <f t="shared" si="6"/>
        <v>0</v>
      </c>
      <c r="J215" s="1319">
        <f t="shared" si="7"/>
        <v>0</v>
      </c>
    </row>
    <row r="216" spans="1:10" ht="38.25" hidden="1">
      <c r="A216" s="1314" t="s">
        <v>1162</v>
      </c>
      <c r="B216" s="1308" t="s">
        <v>1163</v>
      </c>
      <c r="C216" s="1310">
        <v>0</v>
      </c>
      <c r="D216" s="1310">
        <v>0</v>
      </c>
      <c r="E216" s="1319">
        <v>0</v>
      </c>
      <c r="F216" s="1319">
        <v>0</v>
      </c>
      <c r="G216" s="1319">
        <v>0</v>
      </c>
      <c r="H216" s="1319">
        <v>0</v>
      </c>
      <c r="I216" s="1319">
        <f t="shared" si="6"/>
        <v>0</v>
      </c>
      <c r="J216" s="1319">
        <f t="shared" si="7"/>
        <v>0</v>
      </c>
    </row>
    <row r="217" spans="1:10" ht="51" hidden="1">
      <c r="A217" s="1314" t="s">
        <v>1164</v>
      </c>
      <c r="B217" s="1308" t="s">
        <v>1165</v>
      </c>
      <c r="C217" s="1310">
        <v>0</v>
      </c>
      <c r="D217" s="1310">
        <v>0</v>
      </c>
      <c r="E217" s="1319">
        <v>0</v>
      </c>
      <c r="F217" s="1319">
        <v>0</v>
      </c>
      <c r="G217" s="1319">
        <v>0</v>
      </c>
      <c r="H217" s="1319">
        <v>0</v>
      </c>
      <c r="I217" s="1319">
        <f t="shared" si="6"/>
        <v>0</v>
      </c>
      <c r="J217" s="1319">
        <f t="shared" si="7"/>
        <v>0</v>
      </c>
    </row>
    <row r="218" spans="1:10" ht="38.25" hidden="1">
      <c r="A218" s="1314" t="s">
        <v>1166</v>
      </c>
      <c r="B218" s="1308" t="s">
        <v>1167</v>
      </c>
      <c r="C218" s="1310">
        <v>0</v>
      </c>
      <c r="D218" s="1310">
        <v>0</v>
      </c>
      <c r="E218" s="1319">
        <v>0</v>
      </c>
      <c r="F218" s="1319">
        <v>0</v>
      </c>
      <c r="G218" s="1319">
        <v>0</v>
      </c>
      <c r="H218" s="1319">
        <v>0</v>
      </c>
      <c r="I218" s="1319">
        <f t="shared" si="6"/>
        <v>0</v>
      </c>
      <c r="J218" s="1319">
        <f t="shared" si="7"/>
        <v>0</v>
      </c>
    </row>
    <row r="219" spans="1:10" ht="25.5" hidden="1">
      <c r="A219" s="1314" t="s">
        <v>1168</v>
      </c>
      <c r="B219" s="1308" t="s">
        <v>1169</v>
      </c>
      <c r="C219" s="1310">
        <v>0</v>
      </c>
      <c r="D219" s="1310">
        <v>0</v>
      </c>
      <c r="E219" s="1319">
        <v>0</v>
      </c>
      <c r="F219" s="1319">
        <v>0</v>
      </c>
      <c r="G219" s="1319">
        <v>0</v>
      </c>
      <c r="H219" s="1319">
        <v>0</v>
      </c>
      <c r="I219" s="1319">
        <f t="shared" si="6"/>
        <v>0</v>
      </c>
      <c r="J219" s="1319">
        <f t="shared" si="7"/>
        <v>0</v>
      </c>
    </row>
    <row r="220" spans="1:10" ht="25.5">
      <c r="A220" s="1315" t="s">
        <v>1170</v>
      </c>
      <c r="B220" s="1311" t="s">
        <v>1171</v>
      </c>
      <c r="C220" s="1313">
        <v>419227</v>
      </c>
      <c r="D220" s="1313">
        <v>0</v>
      </c>
      <c r="E220" s="1320">
        <v>0</v>
      </c>
      <c r="F220" s="1320">
        <v>0</v>
      </c>
      <c r="G220" s="1320">
        <v>0</v>
      </c>
      <c r="H220" s="1320">
        <v>0</v>
      </c>
      <c r="I220" s="1320">
        <f t="shared" si="6"/>
        <v>419227</v>
      </c>
      <c r="J220" s="1320">
        <f t="shared" si="7"/>
        <v>0</v>
      </c>
    </row>
    <row r="221" spans="1:10" ht="25.5" hidden="1">
      <c r="A221" s="1314" t="s">
        <v>1172</v>
      </c>
      <c r="B221" s="1308" t="s">
        <v>1173</v>
      </c>
      <c r="C221" s="1310">
        <v>0</v>
      </c>
      <c r="D221" s="1310">
        <v>0</v>
      </c>
      <c r="E221" s="1319">
        <v>0</v>
      </c>
      <c r="F221" s="1319">
        <v>0</v>
      </c>
      <c r="G221" s="1319">
        <v>0</v>
      </c>
      <c r="H221" s="1319">
        <v>0</v>
      </c>
      <c r="I221" s="1319">
        <f t="shared" si="6"/>
        <v>0</v>
      </c>
      <c r="J221" s="1319">
        <f t="shared" si="7"/>
        <v>0</v>
      </c>
    </row>
    <row r="222" spans="1:10" ht="38.25" hidden="1">
      <c r="A222" s="1314" t="s">
        <v>1174</v>
      </c>
      <c r="B222" s="1308" t="s">
        <v>1175</v>
      </c>
      <c r="C222" s="1310">
        <v>0</v>
      </c>
      <c r="D222" s="1310">
        <v>0</v>
      </c>
      <c r="E222" s="1319">
        <v>0</v>
      </c>
      <c r="F222" s="1319">
        <v>0</v>
      </c>
      <c r="G222" s="1319">
        <v>0</v>
      </c>
      <c r="H222" s="1319">
        <v>0</v>
      </c>
      <c r="I222" s="1319">
        <f t="shared" si="6"/>
        <v>0</v>
      </c>
      <c r="J222" s="1319">
        <f t="shared" si="7"/>
        <v>0</v>
      </c>
    </row>
    <row r="223" spans="1:10" ht="25.5" hidden="1">
      <c r="A223" s="1314" t="s">
        <v>1176</v>
      </c>
      <c r="B223" s="1308" t="s">
        <v>1177</v>
      </c>
      <c r="C223" s="1310">
        <v>0</v>
      </c>
      <c r="D223" s="1310">
        <v>0</v>
      </c>
      <c r="E223" s="1319">
        <v>0</v>
      </c>
      <c r="F223" s="1319">
        <v>0</v>
      </c>
      <c r="G223" s="1319">
        <v>0</v>
      </c>
      <c r="H223" s="1319">
        <v>0</v>
      </c>
      <c r="I223" s="1319">
        <f t="shared" si="6"/>
        <v>0</v>
      </c>
      <c r="J223" s="1319">
        <f t="shared" si="7"/>
        <v>0</v>
      </c>
    </row>
    <row r="224" spans="1:10" ht="25.5" hidden="1">
      <c r="A224" s="1314" t="s">
        <v>1178</v>
      </c>
      <c r="B224" s="1308" t="s">
        <v>1179</v>
      </c>
      <c r="C224" s="1310">
        <v>0</v>
      </c>
      <c r="D224" s="1310">
        <v>0</v>
      </c>
      <c r="E224" s="1319">
        <v>0</v>
      </c>
      <c r="F224" s="1319">
        <v>0</v>
      </c>
      <c r="G224" s="1319">
        <v>0</v>
      </c>
      <c r="H224" s="1319">
        <v>0</v>
      </c>
      <c r="I224" s="1319">
        <f t="shared" si="6"/>
        <v>0</v>
      </c>
      <c r="J224" s="1319">
        <f t="shared" si="7"/>
        <v>0</v>
      </c>
    </row>
    <row r="225" spans="1:10" ht="38.25">
      <c r="A225" s="1314" t="s">
        <v>1180</v>
      </c>
      <c r="B225" s="1308" t="s">
        <v>1181</v>
      </c>
      <c r="C225" s="1310">
        <v>215403</v>
      </c>
      <c r="D225" s="1310">
        <v>0</v>
      </c>
      <c r="E225" s="1319">
        <v>0</v>
      </c>
      <c r="F225" s="1319">
        <v>0</v>
      </c>
      <c r="G225" s="1319">
        <v>0</v>
      </c>
      <c r="H225" s="1319">
        <v>0</v>
      </c>
      <c r="I225" s="1319">
        <f t="shared" si="6"/>
        <v>215403</v>
      </c>
      <c r="J225" s="1319">
        <f t="shared" si="7"/>
        <v>0</v>
      </c>
    </row>
    <row r="226" spans="1:10" ht="51" hidden="1">
      <c r="A226" s="1314" t="s">
        <v>1182</v>
      </c>
      <c r="B226" s="1308" t="s">
        <v>1183</v>
      </c>
      <c r="C226" s="1310">
        <v>0</v>
      </c>
      <c r="D226" s="1310">
        <v>0</v>
      </c>
      <c r="E226" s="1319">
        <v>0</v>
      </c>
      <c r="F226" s="1319">
        <v>0</v>
      </c>
      <c r="G226" s="1319">
        <v>0</v>
      </c>
      <c r="H226" s="1319">
        <v>0</v>
      </c>
      <c r="I226" s="1319">
        <f t="shared" si="6"/>
        <v>0</v>
      </c>
      <c r="J226" s="1319">
        <f t="shared" si="7"/>
        <v>0</v>
      </c>
    </row>
    <row r="227" spans="1:10" ht="38.25" hidden="1">
      <c r="A227" s="1314" t="s">
        <v>1184</v>
      </c>
      <c r="B227" s="1308" t="s">
        <v>1185</v>
      </c>
      <c r="C227" s="1310">
        <v>0</v>
      </c>
      <c r="D227" s="1310">
        <v>0</v>
      </c>
      <c r="E227" s="1319">
        <v>0</v>
      </c>
      <c r="F227" s="1319">
        <v>0</v>
      </c>
      <c r="G227" s="1319">
        <v>0</v>
      </c>
      <c r="H227" s="1319">
        <v>0</v>
      </c>
      <c r="I227" s="1319">
        <f t="shared" si="6"/>
        <v>0</v>
      </c>
      <c r="J227" s="1319">
        <f t="shared" si="7"/>
        <v>0</v>
      </c>
    </row>
    <row r="228" spans="1:10" ht="25.5" hidden="1">
      <c r="A228" s="1314" t="s">
        <v>1186</v>
      </c>
      <c r="B228" s="1308" t="s">
        <v>1187</v>
      </c>
      <c r="C228" s="1310">
        <v>0</v>
      </c>
      <c r="D228" s="1310">
        <v>0</v>
      </c>
      <c r="E228" s="1319">
        <v>0</v>
      </c>
      <c r="F228" s="1319">
        <v>0</v>
      </c>
      <c r="G228" s="1319">
        <v>0</v>
      </c>
      <c r="H228" s="1319">
        <v>0</v>
      </c>
      <c r="I228" s="1319">
        <f t="shared" si="6"/>
        <v>0</v>
      </c>
      <c r="J228" s="1319">
        <f t="shared" si="7"/>
        <v>0</v>
      </c>
    </row>
    <row r="229" spans="1:10" ht="25.5" hidden="1">
      <c r="A229" s="1314" t="s">
        <v>1188</v>
      </c>
      <c r="B229" s="1308" t="s">
        <v>1189</v>
      </c>
      <c r="C229" s="1310">
        <v>0</v>
      </c>
      <c r="D229" s="1310">
        <v>0</v>
      </c>
      <c r="E229" s="1319">
        <v>0</v>
      </c>
      <c r="F229" s="1319">
        <v>0</v>
      </c>
      <c r="G229" s="1319">
        <v>0</v>
      </c>
      <c r="H229" s="1319">
        <v>0</v>
      </c>
      <c r="I229" s="1319">
        <f t="shared" si="6"/>
        <v>0</v>
      </c>
      <c r="J229" s="1319">
        <f t="shared" si="7"/>
        <v>0</v>
      </c>
    </row>
    <row r="230" spans="1:10" ht="38.25" hidden="1">
      <c r="A230" s="1314" t="s">
        <v>1190</v>
      </c>
      <c r="B230" s="1308" t="s">
        <v>1191</v>
      </c>
      <c r="C230" s="1310">
        <v>0</v>
      </c>
      <c r="D230" s="1310">
        <v>0</v>
      </c>
      <c r="E230" s="1319">
        <v>0</v>
      </c>
      <c r="F230" s="1319">
        <v>0</v>
      </c>
      <c r="G230" s="1319">
        <v>0</v>
      </c>
      <c r="H230" s="1319">
        <v>0</v>
      </c>
      <c r="I230" s="1319">
        <f t="shared" si="6"/>
        <v>0</v>
      </c>
      <c r="J230" s="1319">
        <f t="shared" si="7"/>
        <v>0</v>
      </c>
    </row>
    <row r="231" spans="1:10" ht="51" hidden="1">
      <c r="A231" s="1314" t="s">
        <v>1192</v>
      </c>
      <c r="B231" s="1308" t="s">
        <v>1193</v>
      </c>
      <c r="C231" s="1310">
        <v>0</v>
      </c>
      <c r="D231" s="1310">
        <v>0</v>
      </c>
      <c r="E231" s="1319">
        <v>0</v>
      </c>
      <c r="F231" s="1319">
        <v>0</v>
      </c>
      <c r="G231" s="1319">
        <v>0</v>
      </c>
      <c r="H231" s="1319">
        <v>0</v>
      </c>
      <c r="I231" s="1319">
        <f t="shared" si="6"/>
        <v>0</v>
      </c>
      <c r="J231" s="1319">
        <f t="shared" si="7"/>
        <v>0</v>
      </c>
    </row>
    <row r="232" spans="1:10" ht="38.25" hidden="1">
      <c r="A232" s="1314" t="s">
        <v>1194</v>
      </c>
      <c r="B232" s="1308" t="s">
        <v>1195</v>
      </c>
      <c r="C232" s="1310">
        <v>0</v>
      </c>
      <c r="D232" s="1310">
        <v>0</v>
      </c>
      <c r="E232" s="1319">
        <v>0</v>
      </c>
      <c r="F232" s="1319">
        <v>0</v>
      </c>
      <c r="G232" s="1319">
        <v>0</v>
      </c>
      <c r="H232" s="1319">
        <v>0</v>
      </c>
      <c r="I232" s="1319">
        <f t="shared" si="6"/>
        <v>0</v>
      </c>
      <c r="J232" s="1319">
        <f t="shared" si="7"/>
        <v>0</v>
      </c>
    </row>
    <row r="233" spans="1:10" ht="38.25">
      <c r="A233" s="1314" t="s">
        <v>1196</v>
      </c>
      <c r="B233" s="1308" t="s">
        <v>1197</v>
      </c>
      <c r="C233" s="1310">
        <v>16437700</v>
      </c>
      <c r="D233" s="1310">
        <v>15055921</v>
      </c>
      <c r="E233" s="1319">
        <v>0</v>
      </c>
      <c r="F233" s="1319">
        <v>0</v>
      </c>
      <c r="G233" s="1319">
        <v>0</v>
      </c>
      <c r="H233" s="1319">
        <v>0</v>
      </c>
      <c r="I233" s="1319">
        <f t="shared" si="6"/>
        <v>16437700</v>
      </c>
      <c r="J233" s="1319">
        <f t="shared" si="7"/>
        <v>15055921</v>
      </c>
    </row>
    <row r="234" spans="1:10" ht="51">
      <c r="A234" s="1314" t="s">
        <v>1198</v>
      </c>
      <c r="B234" s="1308" t="s">
        <v>1199</v>
      </c>
      <c r="C234" s="1310">
        <v>8315281</v>
      </c>
      <c r="D234" s="1310">
        <v>5291541</v>
      </c>
      <c r="E234" s="1319">
        <v>0</v>
      </c>
      <c r="F234" s="1319">
        <v>0</v>
      </c>
      <c r="G234" s="1319">
        <v>0</v>
      </c>
      <c r="H234" s="1319">
        <v>0</v>
      </c>
      <c r="I234" s="1319">
        <f t="shared" si="6"/>
        <v>8315281</v>
      </c>
      <c r="J234" s="1319">
        <f t="shared" si="7"/>
        <v>5291541</v>
      </c>
    </row>
    <row r="235" spans="1:10" ht="38.25" hidden="1">
      <c r="A235" s="1314" t="s">
        <v>1200</v>
      </c>
      <c r="B235" s="1308" t="s">
        <v>1201</v>
      </c>
      <c r="C235" s="1310">
        <v>0</v>
      </c>
      <c r="D235" s="1310">
        <v>0</v>
      </c>
      <c r="E235" s="1319">
        <v>0</v>
      </c>
      <c r="F235" s="1319">
        <v>0</v>
      </c>
      <c r="G235" s="1319">
        <v>0</v>
      </c>
      <c r="H235" s="1319">
        <v>0</v>
      </c>
      <c r="I235" s="1319">
        <f t="shared" si="6"/>
        <v>0</v>
      </c>
      <c r="J235" s="1319">
        <f t="shared" si="7"/>
        <v>0</v>
      </c>
    </row>
    <row r="236" spans="1:10" ht="38.25" hidden="1">
      <c r="A236" s="1314" t="s">
        <v>1202</v>
      </c>
      <c r="B236" s="1308" t="s">
        <v>1203</v>
      </c>
      <c r="C236" s="1310">
        <v>0</v>
      </c>
      <c r="D236" s="1310">
        <v>0</v>
      </c>
      <c r="E236" s="1319">
        <v>0</v>
      </c>
      <c r="F236" s="1319">
        <v>0</v>
      </c>
      <c r="G236" s="1319">
        <v>0</v>
      </c>
      <c r="H236" s="1319">
        <v>0</v>
      </c>
      <c r="I236" s="1319">
        <f t="shared" si="6"/>
        <v>0</v>
      </c>
      <c r="J236" s="1319">
        <f t="shared" si="7"/>
        <v>0</v>
      </c>
    </row>
    <row r="237" spans="1:10" ht="38.25" hidden="1">
      <c r="A237" s="1314" t="s">
        <v>1204</v>
      </c>
      <c r="B237" s="1308" t="s">
        <v>1205</v>
      </c>
      <c r="C237" s="1310">
        <v>0</v>
      </c>
      <c r="D237" s="1310">
        <v>0</v>
      </c>
      <c r="E237" s="1319">
        <v>0</v>
      </c>
      <c r="F237" s="1319">
        <v>0</v>
      </c>
      <c r="G237" s="1319">
        <v>0</v>
      </c>
      <c r="H237" s="1319">
        <v>0</v>
      </c>
      <c r="I237" s="1319">
        <f t="shared" si="6"/>
        <v>0</v>
      </c>
      <c r="J237" s="1319">
        <f t="shared" si="7"/>
        <v>0</v>
      </c>
    </row>
    <row r="238" spans="1:10" ht="38.25">
      <c r="A238" s="1314" t="s">
        <v>1206</v>
      </c>
      <c r="B238" s="1308" t="s">
        <v>1207</v>
      </c>
      <c r="C238" s="1310">
        <v>8122419</v>
      </c>
      <c r="D238" s="1310">
        <v>9764380</v>
      </c>
      <c r="E238" s="1319">
        <v>0</v>
      </c>
      <c r="F238" s="1319">
        <v>0</v>
      </c>
      <c r="G238" s="1319">
        <v>0</v>
      </c>
      <c r="H238" s="1319">
        <v>0</v>
      </c>
      <c r="I238" s="1319">
        <f t="shared" si="6"/>
        <v>8122419</v>
      </c>
      <c r="J238" s="1319">
        <f t="shared" si="7"/>
        <v>9764380</v>
      </c>
    </row>
    <row r="239" spans="1:10" ht="38.25" hidden="1">
      <c r="A239" s="1314" t="s">
        <v>1208</v>
      </c>
      <c r="B239" s="1308" t="s">
        <v>1209</v>
      </c>
      <c r="C239" s="1310">
        <v>0</v>
      </c>
      <c r="D239" s="1310">
        <v>0</v>
      </c>
      <c r="E239" s="1319">
        <v>0</v>
      </c>
      <c r="F239" s="1319">
        <v>0</v>
      </c>
      <c r="G239" s="1319">
        <v>0</v>
      </c>
      <c r="H239" s="1319">
        <v>0</v>
      </c>
      <c r="I239" s="1319">
        <f t="shared" si="6"/>
        <v>0</v>
      </c>
      <c r="J239" s="1319">
        <f t="shared" si="7"/>
        <v>0</v>
      </c>
    </row>
    <row r="240" spans="1:10" ht="38.25" hidden="1">
      <c r="A240" s="1314" t="s">
        <v>1210</v>
      </c>
      <c r="B240" s="1308" t="s">
        <v>1211</v>
      </c>
      <c r="C240" s="1310">
        <v>0</v>
      </c>
      <c r="D240" s="1310">
        <v>0</v>
      </c>
      <c r="E240" s="1319">
        <v>0</v>
      </c>
      <c r="F240" s="1319">
        <v>0</v>
      </c>
      <c r="G240" s="1319">
        <v>0</v>
      </c>
      <c r="H240" s="1319">
        <v>0</v>
      </c>
      <c r="I240" s="1319">
        <f t="shared" si="6"/>
        <v>0</v>
      </c>
      <c r="J240" s="1319">
        <f t="shared" si="7"/>
        <v>0</v>
      </c>
    </row>
    <row r="241" spans="1:10" ht="51" hidden="1">
      <c r="A241" s="1314" t="s">
        <v>1212</v>
      </c>
      <c r="B241" s="1308" t="s">
        <v>1213</v>
      </c>
      <c r="C241" s="1310">
        <v>0</v>
      </c>
      <c r="D241" s="1310">
        <v>0</v>
      </c>
      <c r="E241" s="1319">
        <v>0</v>
      </c>
      <c r="F241" s="1319">
        <v>0</v>
      </c>
      <c r="G241" s="1319">
        <v>0</v>
      </c>
      <c r="H241" s="1319">
        <v>0</v>
      </c>
      <c r="I241" s="1319">
        <f t="shared" si="6"/>
        <v>0</v>
      </c>
      <c r="J241" s="1319">
        <f t="shared" si="7"/>
        <v>0</v>
      </c>
    </row>
    <row r="242" spans="1:10" ht="51" hidden="1">
      <c r="A242" s="1314" t="s">
        <v>1214</v>
      </c>
      <c r="B242" s="1308" t="s">
        <v>1215</v>
      </c>
      <c r="C242" s="1310">
        <v>0</v>
      </c>
      <c r="D242" s="1310">
        <v>0</v>
      </c>
      <c r="E242" s="1319">
        <v>0</v>
      </c>
      <c r="F242" s="1319">
        <v>0</v>
      </c>
      <c r="G242" s="1319">
        <v>0</v>
      </c>
      <c r="H242" s="1319">
        <v>0</v>
      </c>
      <c r="I242" s="1319">
        <f t="shared" si="6"/>
        <v>0</v>
      </c>
      <c r="J242" s="1319">
        <f t="shared" si="7"/>
        <v>0</v>
      </c>
    </row>
    <row r="243" spans="1:10" ht="25.5" hidden="1">
      <c r="A243" s="1314" t="s">
        <v>1216</v>
      </c>
      <c r="B243" s="1308" t="s">
        <v>1217</v>
      </c>
      <c r="C243" s="1310">
        <v>0</v>
      </c>
      <c r="D243" s="1310">
        <v>0</v>
      </c>
      <c r="E243" s="1319">
        <v>0</v>
      </c>
      <c r="F243" s="1319">
        <v>0</v>
      </c>
      <c r="G243" s="1319">
        <v>0</v>
      </c>
      <c r="H243" s="1319">
        <v>0</v>
      </c>
      <c r="I243" s="1319">
        <f t="shared" si="6"/>
        <v>0</v>
      </c>
      <c r="J243" s="1319">
        <f t="shared" si="7"/>
        <v>0</v>
      </c>
    </row>
    <row r="244" spans="1:10" ht="25.5">
      <c r="A244" s="1315" t="s">
        <v>1218</v>
      </c>
      <c r="B244" s="1311" t="s">
        <v>1219</v>
      </c>
      <c r="C244" s="1313">
        <v>16653103</v>
      </c>
      <c r="D244" s="1313">
        <v>15055921</v>
      </c>
      <c r="E244" s="1320">
        <v>0</v>
      </c>
      <c r="F244" s="1320">
        <v>0</v>
      </c>
      <c r="G244" s="1320">
        <v>0</v>
      </c>
      <c r="H244" s="1320">
        <v>0</v>
      </c>
      <c r="I244" s="1320">
        <f t="shared" si="6"/>
        <v>16653103</v>
      </c>
      <c r="J244" s="1320">
        <f t="shared" si="7"/>
        <v>15055921</v>
      </c>
    </row>
    <row r="245" spans="1:10" ht="12.75" hidden="1">
      <c r="A245" s="1314" t="s">
        <v>1220</v>
      </c>
      <c r="B245" s="1308" t="s">
        <v>1221</v>
      </c>
      <c r="C245" s="1310">
        <v>0</v>
      </c>
      <c r="D245" s="1310">
        <v>0</v>
      </c>
      <c r="E245" s="1319">
        <v>0</v>
      </c>
      <c r="F245" s="1319">
        <v>0</v>
      </c>
      <c r="G245" s="1319">
        <v>0</v>
      </c>
      <c r="H245" s="1319">
        <v>0</v>
      </c>
      <c r="I245" s="1319">
        <f t="shared" si="6"/>
        <v>0</v>
      </c>
      <c r="J245" s="1319">
        <f t="shared" si="7"/>
        <v>0</v>
      </c>
    </row>
    <row r="246" spans="1:10" ht="25.5" hidden="1">
      <c r="A246" s="1314" t="s">
        <v>1222</v>
      </c>
      <c r="B246" s="1308" t="s">
        <v>1223</v>
      </c>
      <c r="C246" s="1310">
        <v>0</v>
      </c>
      <c r="D246" s="1310">
        <v>0</v>
      </c>
      <c r="E246" s="1319">
        <v>0</v>
      </c>
      <c r="F246" s="1319">
        <v>0</v>
      </c>
      <c r="G246" s="1319">
        <v>0</v>
      </c>
      <c r="H246" s="1319">
        <v>0</v>
      </c>
      <c r="I246" s="1319">
        <f t="shared" si="6"/>
        <v>0</v>
      </c>
      <c r="J246" s="1319">
        <f t="shared" si="7"/>
        <v>0</v>
      </c>
    </row>
    <row r="247" spans="1:10" ht="25.5">
      <c r="A247" s="1314" t="s">
        <v>1224</v>
      </c>
      <c r="B247" s="1308" t="s">
        <v>1225</v>
      </c>
      <c r="C247" s="1310">
        <v>149479</v>
      </c>
      <c r="D247" s="1310">
        <v>175422</v>
      </c>
      <c r="E247" s="1319">
        <v>0</v>
      </c>
      <c r="F247" s="1319">
        <v>0</v>
      </c>
      <c r="G247" s="1319">
        <v>0</v>
      </c>
      <c r="H247" s="1319">
        <v>0</v>
      </c>
      <c r="I247" s="1319">
        <f t="shared" si="6"/>
        <v>149479</v>
      </c>
      <c r="J247" s="1319">
        <f t="shared" si="7"/>
        <v>175422</v>
      </c>
    </row>
    <row r="248" spans="1:10" ht="12.75" hidden="1">
      <c r="A248" s="1314" t="s">
        <v>1226</v>
      </c>
      <c r="B248" s="1308" t="s">
        <v>1227</v>
      </c>
      <c r="C248" s="1310">
        <v>0</v>
      </c>
      <c r="D248" s="1310">
        <v>0</v>
      </c>
      <c r="E248" s="1319">
        <v>0</v>
      </c>
      <c r="F248" s="1319">
        <v>0</v>
      </c>
      <c r="G248" s="1319">
        <v>0</v>
      </c>
      <c r="H248" s="1319">
        <v>0</v>
      </c>
      <c r="I248" s="1319">
        <f t="shared" si="6"/>
        <v>0</v>
      </c>
      <c r="J248" s="1319">
        <f t="shared" si="7"/>
        <v>0</v>
      </c>
    </row>
    <row r="249" spans="1:10" ht="38.25" hidden="1">
      <c r="A249" s="1314" t="s">
        <v>1228</v>
      </c>
      <c r="B249" s="1308" t="s">
        <v>1229</v>
      </c>
      <c r="C249" s="1310">
        <v>0</v>
      </c>
      <c r="D249" s="1310">
        <v>0</v>
      </c>
      <c r="E249" s="1319">
        <v>0</v>
      </c>
      <c r="F249" s="1319">
        <v>0</v>
      </c>
      <c r="G249" s="1319">
        <v>0</v>
      </c>
      <c r="H249" s="1319">
        <v>0</v>
      </c>
      <c r="I249" s="1319">
        <f t="shared" si="6"/>
        <v>0</v>
      </c>
      <c r="J249" s="1319">
        <f t="shared" si="7"/>
        <v>0</v>
      </c>
    </row>
    <row r="250" spans="1:10" ht="38.25" hidden="1">
      <c r="A250" s="1314" t="s">
        <v>1230</v>
      </c>
      <c r="B250" s="1308" t="s">
        <v>1231</v>
      </c>
      <c r="C250" s="1310">
        <v>0</v>
      </c>
      <c r="D250" s="1310">
        <v>0</v>
      </c>
      <c r="E250" s="1319">
        <v>0</v>
      </c>
      <c r="F250" s="1319">
        <v>0</v>
      </c>
      <c r="G250" s="1319">
        <v>0</v>
      </c>
      <c r="H250" s="1319">
        <v>0</v>
      </c>
      <c r="I250" s="1319">
        <f t="shared" si="6"/>
        <v>0</v>
      </c>
      <c r="J250" s="1319">
        <f t="shared" si="7"/>
        <v>0</v>
      </c>
    </row>
    <row r="251" spans="1:10" ht="38.25" hidden="1">
      <c r="A251" s="1314" t="s">
        <v>1232</v>
      </c>
      <c r="B251" s="1308" t="s">
        <v>1233</v>
      </c>
      <c r="C251" s="1310">
        <v>0</v>
      </c>
      <c r="D251" s="1310">
        <v>0</v>
      </c>
      <c r="E251" s="1319">
        <v>0</v>
      </c>
      <c r="F251" s="1319">
        <v>0</v>
      </c>
      <c r="G251" s="1319">
        <v>0</v>
      </c>
      <c r="H251" s="1319">
        <v>0</v>
      </c>
      <c r="I251" s="1319">
        <f t="shared" si="6"/>
        <v>0</v>
      </c>
      <c r="J251" s="1319">
        <f t="shared" si="7"/>
        <v>0</v>
      </c>
    </row>
    <row r="252" spans="1:10" ht="25.5" hidden="1">
      <c r="A252" s="1314" t="s">
        <v>1234</v>
      </c>
      <c r="B252" s="1308" t="s">
        <v>1235</v>
      </c>
      <c r="C252" s="1310">
        <v>0</v>
      </c>
      <c r="D252" s="1310">
        <v>0</v>
      </c>
      <c r="E252" s="1319">
        <v>0</v>
      </c>
      <c r="F252" s="1319">
        <v>0</v>
      </c>
      <c r="G252" s="1319">
        <v>0</v>
      </c>
      <c r="H252" s="1319">
        <v>0</v>
      </c>
      <c r="I252" s="1319">
        <f t="shared" si="6"/>
        <v>0</v>
      </c>
      <c r="J252" s="1319">
        <f t="shared" si="7"/>
        <v>0</v>
      </c>
    </row>
    <row r="253" spans="1:10" ht="25.5" hidden="1">
      <c r="A253" s="1314" t="s">
        <v>1236</v>
      </c>
      <c r="B253" s="1308" t="s">
        <v>1237</v>
      </c>
      <c r="C253" s="1310">
        <v>0</v>
      </c>
      <c r="D253" s="1310">
        <v>0</v>
      </c>
      <c r="E253" s="1319">
        <v>0</v>
      </c>
      <c r="F253" s="1319">
        <v>0</v>
      </c>
      <c r="G253" s="1319">
        <v>0</v>
      </c>
      <c r="H253" s="1319">
        <v>0</v>
      </c>
      <c r="I253" s="1319">
        <f t="shared" si="6"/>
        <v>0</v>
      </c>
      <c r="J253" s="1319">
        <f t="shared" si="7"/>
        <v>0</v>
      </c>
    </row>
    <row r="254" spans="1:10" ht="25.5" hidden="1">
      <c r="A254" s="1314" t="s">
        <v>1238</v>
      </c>
      <c r="B254" s="1308" t="s">
        <v>1239</v>
      </c>
      <c r="C254" s="1310">
        <v>0</v>
      </c>
      <c r="D254" s="1310">
        <v>0</v>
      </c>
      <c r="E254" s="1319">
        <v>0</v>
      </c>
      <c r="F254" s="1319">
        <v>0</v>
      </c>
      <c r="G254" s="1319">
        <v>0</v>
      </c>
      <c r="H254" s="1319">
        <v>0</v>
      </c>
      <c r="I254" s="1319">
        <f t="shared" si="6"/>
        <v>0</v>
      </c>
      <c r="J254" s="1319">
        <f t="shared" si="7"/>
        <v>0</v>
      </c>
    </row>
    <row r="255" spans="1:10" ht="25.5">
      <c r="A255" s="1315" t="s">
        <v>1240</v>
      </c>
      <c r="B255" s="1311" t="s">
        <v>1241</v>
      </c>
      <c r="C255" s="1313">
        <v>149479</v>
      </c>
      <c r="D255" s="1313">
        <v>175422</v>
      </c>
      <c r="E255" s="1320">
        <v>0</v>
      </c>
      <c r="F255" s="1320">
        <v>0</v>
      </c>
      <c r="G255" s="1320">
        <v>0</v>
      </c>
      <c r="H255" s="1320">
        <v>0</v>
      </c>
      <c r="I255" s="1320">
        <f t="shared" si="6"/>
        <v>149479</v>
      </c>
      <c r="J255" s="1320">
        <f t="shared" si="7"/>
        <v>175422</v>
      </c>
    </row>
    <row r="256" spans="1:10" ht="12.75">
      <c r="A256" s="1315" t="s">
        <v>1242</v>
      </c>
      <c r="B256" s="1311" t="s">
        <v>1243</v>
      </c>
      <c r="C256" s="1313">
        <v>17221809</v>
      </c>
      <c r="D256" s="1313">
        <v>15231343</v>
      </c>
      <c r="E256" s="1320">
        <v>0</v>
      </c>
      <c r="F256" s="1320">
        <v>0</v>
      </c>
      <c r="G256" s="1320">
        <v>0</v>
      </c>
      <c r="H256" s="1320">
        <v>0</v>
      </c>
      <c r="I256" s="1320">
        <f t="shared" si="6"/>
        <v>17221809</v>
      </c>
      <c r="J256" s="1320">
        <f t="shared" si="7"/>
        <v>15231343</v>
      </c>
    </row>
    <row r="257" spans="1:10" ht="25.5" hidden="1">
      <c r="A257" s="1315" t="s">
        <v>1244</v>
      </c>
      <c r="B257" s="1311" t="s">
        <v>1245</v>
      </c>
      <c r="C257" s="1313">
        <v>0</v>
      </c>
      <c r="D257" s="1313">
        <v>0</v>
      </c>
      <c r="E257" s="1320">
        <v>0</v>
      </c>
      <c r="F257" s="1320">
        <v>0</v>
      </c>
      <c r="G257" s="1320">
        <v>0</v>
      </c>
      <c r="H257" s="1320">
        <v>0</v>
      </c>
      <c r="I257" s="1320">
        <f t="shared" si="6"/>
        <v>0</v>
      </c>
      <c r="J257" s="1320">
        <f t="shared" si="7"/>
        <v>0</v>
      </c>
    </row>
    <row r="258" spans="1:10" ht="25.5" hidden="1">
      <c r="A258" s="1314" t="s">
        <v>1246</v>
      </c>
      <c r="B258" s="1308" t="s">
        <v>1247</v>
      </c>
      <c r="C258" s="1310">
        <v>0</v>
      </c>
      <c r="D258" s="1310">
        <v>0</v>
      </c>
      <c r="E258" s="1319">
        <v>0</v>
      </c>
      <c r="F258" s="1319">
        <v>0</v>
      </c>
      <c r="G258" s="1319">
        <v>0</v>
      </c>
      <c r="H258" s="1319">
        <v>0</v>
      </c>
      <c r="I258" s="1319">
        <f t="shared" si="6"/>
        <v>0</v>
      </c>
      <c r="J258" s="1319">
        <f t="shared" si="7"/>
        <v>0</v>
      </c>
    </row>
    <row r="259" spans="1:10" ht="25.5">
      <c r="A259" s="1314" t="s">
        <v>1248</v>
      </c>
      <c r="B259" s="1308" t="s">
        <v>1249</v>
      </c>
      <c r="C259" s="1310">
        <v>3574462</v>
      </c>
      <c r="D259" s="1310">
        <v>3320049</v>
      </c>
      <c r="E259" s="1319">
        <v>5057743</v>
      </c>
      <c r="F259" s="1319">
        <v>6734661</v>
      </c>
      <c r="G259" s="1319">
        <v>5989573</v>
      </c>
      <c r="H259" s="1319">
        <v>6437499</v>
      </c>
      <c r="I259" s="1319">
        <f t="shared" si="6"/>
        <v>14621778</v>
      </c>
      <c r="J259" s="1319">
        <f t="shared" si="7"/>
        <v>16492209</v>
      </c>
    </row>
    <row r="260" spans="1:10" ht="12.75">
      <c r="A260" s="1314" t="s">
        <v>1250</v>
      </c>
      <c r="B260" s="1308" t="s">
        <v>1251</v>
      </c>
      <c r="C260" s="1310">
        <v>0</v>
      </c>
      <c r="D260" s="1310">
        <v>198759</v>
      </c>
      <c r="E260" s="1319">
        <v>0</v>
      </c>
      <c r="F260" s="1319">
        <v>0</v>
      </c>
      <c r="G260" s="1319">
        <v>0</v>
      </c>
      <c r="H260" s="1319">
        <v>0</v>
      </c>
      <c r="I260" s="1319">
        <f t="shared" si="6"/>
        <v>0</v>
      </c>
      <c r="J260" s="1319">
        <f t="shared" si="7"/>
        <v>198759</v>
      </c>
    </row>
    <row r="261" spans="1:10" ht="25.5">
      <c r="A261" s="1315" t="s">
        <v>1252</v>
      </c>
      <c r="B261" s="1311" t="s">
        <v>1253</v>
      </c>
      <c r="C261" s="1313">
        <v>3574462</v>
      </c>
      <c r="D261" s="1313">
        <v>3518808</v>
      </c>
      <c r="E261" s="1320">
        <v>5057743</v>
      </c>
      <c r="F261" s="1320">
        <v>6734661</v>
      </c>
      <c r="G261" s="1320">
        <v>5989573</v>
      </c>
      <c r="H261" s="1320">
        <v>6437499</v>
      </c>
      <c r="I261" s="1320">
        <f t="shared" si="6"/>
        <v>14621778</v>
      </c>
      <c r="J261" s="1320">
        <f t="shared" si="7"/>
        <v>16690968</v>
      </c>
    </row>
    <row r="262" spans="1:10" ht="12.75">
      <c r="A262" s="1315" t="s">
        <v>1254</v>
      </c>
      <c r="B262" s="1311" t="s">
        <v>1255</v>
      </c>
      <c r="C262" s="1313">
        <v>1324854069</v>
      </c>
      <c r="D262" s="1313">
        <v>1662282762</v>
      </c>
      <c r="E262" s="1320">
        <v>1041722</v>
      </c>
      <c r="F262" s="1320">
        <v>1210437</v>
      </c>
      <c r="G262" s="1320">
        <v>6054106</v>
      </c>
      <c r="H262" s="1320">
        <v>5466392</v>
      </c>
      <c r="I262" s="1320">
        <f t="shared" si="6"/>
        <v>1331949897</v>
      </c>
      <c r="J262" s="1320">
        <f t="shared" si="7"/>
        <v>1668959591</v>
      </c>
    </row>
  </sheetData>
  <sheetProtection/>
  <mergeCells count="8">
    <mergeCell ref="G7:H7"/>
    <mergeCell ref="I7:J7"/>
    <mergeCell ref="A1:I1"/>
    <mergeCell ref="A2:I2"/>
    <mergeCell ref="A3:I3"/>
    <mergeCell ref="A6:I6"/>
    <mergeCell ref="C7:D7"/>
    <mergeCell ref="E7:F7"/>
  </mergeCells>
  <printOptions/>
  <pageMargins left="0.75" right="0.75" top="1" bottom="1" header="0.5" footer="0.5"/>
  <pageSetup horizontalDpi="300" verticalDpi="300" orientation="portrait"/>
  <headerFooter alignWithMargins="0">
    <oddHeader>&amp;L&amp;C&amp;RÉrték típus: Forint</oddHeader>
    <oddFooter>&amp;LAdatellenőrző kód: 2c-8-1952a3917-7c7028-6d78-6c-6e3671-13-37-24-7d&amp;C&amp;R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61">
      <selection activeCell="C7" sqref="C7"/>
    </sheetView>
  </sheetViews>
  <sheetFormatPr defaultColWidth="60.421875" defaultRowHeight="12.75"/>
  <cols>
    <col min="1" max="1" width="60.421875" style="1344" customWidth="1"/>
    <col min="2" max="2" width="5.57421875" style="1345" customWidth="1"/>
    <col min="3" max="3" width="13.140625" style="1344" customWidth="1"/>
    <col min="4" max="4" width="14.8515625" style="1344" customWidth="1"/>
    <col min="5" max="5" width="10.7109375" style="1220" customWidth="1"/>
    <col min="6" max="6" width="22.8515625" style="1220" customWidth="1"/>
    <col min="7" max="255" width="10.7109375" style="1220" customWidth="1"/>
    <col min="256" max="16384" width="60.421875" style="1220" customWidth="1"/>
  </cols>
  <sheetData>
    <row r="1" spans="1:256" ht="49.5" customHeight="1">
      <c r="A1" s="1634" t="s">
        <v>1261</v>
      </c>
      <c r="B1" s="1634"/>
      <c r="C1" s="1634"/>
      <c r="D1" s="1634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1"/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1"/>
      <c r="BA1" s="1321"/>
      <c r="BB1" s="1321"/>
      <c r="BC1" s="1321"/>
      <c r="BD1" s="1321"/>
      <c r="BE1" s="1321"/>
      <c r="BF1" s="1321"/>
      <c r="BG1" s="1321"/>
      <c r="BH1" s="1321"/>
      <c r="BI1" s="1321"/>
      <c r="BJ1" s="1321"/>
      <c r="BK1" s="1321"/>
      <c r="BL1" s="1321"/>
      <c r="BM1" s="1321"/>
      <c r="BN1" s="1321"/>
      <c r="BO1" s="1321"/>
      <c r="BP1" s="1321"/>
      <c r="BQ1" s="1321"/>
      <c r="BR1" s="1321"/>
      <c r="BS1" s="1321"/>
      <c r="BT1" s="1321"/>
      <c r="BU1" s="1321"/>
      <c r="BV1" s="1321"/>
      <c r="BW1" s="1321"/>
      <c r="BX1" s="1321"/>
      <c r="BY1" s="1321"/>
      <c r="BZ1" s="1321"/>
      <c r="CA1" s="1321"/>
      <c r="CB1" s="1321"/>
      <c r="CC1" s="1321"/>
      <c r="CD1" s="1321"/>
      <c r="CE1" s="1321"/>
      <c r="CF1" s="1321"/>
      <c r="CG1" s="1321"/>
      <c r="CH1" s="1321"/>
      <c r="CI1" s="1321"/>
      <c r="CJ1" s="1321"/>
      <c r="CK1" s="1321"/>
      <c r="CL1" s="1321"/>
      <c r="CM1" s="1321"/>
      <c r="CN1" s="1321"/>
      <c r="CO1" s="1321"/>
      <c r="CP1" s="1321"/>
      <c r="CQ1" s="1321"/>
      <c r="CR1" s="1321"/>
      <c r="CS1" s="1321"/>
      <c r="CT1" s="1321"/>
      <c r="CU1" s="1321"/>
      <c r="CV1" s="1321"/>
      <c r="CW1" s="1321"/>
      <c r="CX1" s="1321"/>
      <c r="CY1" s="1321"/>
      <c r="CZ1" s="1321"/>
      <c r="DA1" s="1321"/>
      <c r="DB1" s="1321"/>
      <c r="DC1" s="1321"/>
      <c r="DD1" s="1321"/>
      <c r="DE1" s="1321"/>
      <c r="DF1" s="1321"/>
      <c r="DG1" s="1321"/>
      <c r="DH1" s="1321"/>
      <c r="DI1" s="1321"/>
      <c r="DJ1" s="1321"/>
      <c r="DK1" s="1321"/>
      <c r="DL1" s="1321"/>
      <c r="DM1" s="1321"/>
      <c r="DN1" s="1321"/>
      <c r="DO1" s="1321"/>
      <c r="DP1" s="1321"/>
      <c r="DQ1" s="1321"/>
      <c r="DR1" s="1321"/>
      <c r="DS1" s="1321"/>
      <c r="DT1" s="1321"/>
      <c r="DU1" s="1321"/>
      <c r="DV1" s="1321"/>
      <c r="DW1" s="1321"/>
      <c r="DX1" s="1321"/>
      <c r="DY1" s="1321"/>
      <c r="DZ1" s="1321"/>
      <c r="EA1" s="1321"/>
      <c r="EB1" s="1321"/>
      <c r="EC1" s="1321"/>
      <c r="ED1" s="1321"/>
      <c r="EE1" s="1321"/>
      <c r="EF1" s="1321"/>
      <c r="EG1" s="1321"/>
      <c r="EH1" s="1321"/>
      <c r="EI1" s="1321"/>
      <c r="EJ1" s="1321"/>
      <c r="EK1" s="1321"/>
      <c r="EL1" s="1321"/>
      <c r="EM1" s="1321"/>
      <c r="EN1" s="1321"/>
      <c r="EO1" s="1321"/>
      <c r="EP1" s="1321"/>
      <c r="EQ1" s="1321"/>
      <c r="ER1" s="1321"/>
      <c r="ES1" s="1321"/>
      <c r="ET1" s="1321"/>
      <c r="EU1" s="1321"/>
      <c r="EV1" s="1321"/>
      <c r="EW1" s="1321"/>
      <c r="EX1" s="1321"/>
      <c r="EY1" s="1321"/>
      <c r="EZ1" s="1321"/>
      <c r="FA1" s="1321"/>
      <c r="FB1" s="1321"/>
      <c r="FC1" s="1321"/>
      <c r="FD1" s="1321"/>
      <c r="FE1" s="1321"/>
      <c r="FF1" s="1321"/>
      <c r="FG1" s="1321"/>
      <c r="FH1" s="1321"/>
      <c r="FI1" s="1321"/>
      <c r="FJ1" s="1321"/>
      <c r="FK1" s="1321"/>
      <c r="FL1" s="1321"/>
      <c r="FM1" s="1321"/>
      <c r="FN1" s="1321"/>
      <c r="FO1" s="1321"/>
      <c r="FP1" s="1321"/>
      <c r="FQ1" s="1321"/>
      <c r="FR1" s="1321"/>
      <c r="FS1" s="1321"/>
      <c r="FT1" s="1321"/>
      <c r="FU1" s="1321"/>
      <c r="FV1" s="1321"/>
      <c r="FW1" s="1321"/>
      <c r="FX1" s="1321"/>
      <c r="FY1" s="1321"/>
      <c r="FZ1" s="1321"/>
      <c r="GA1" s="1321"/>
      <c r="GB1" s="1321"/>
      <c r="GC1" s="1321"/>
      <c r="GD1" s="1321"/>
      <c r="GE1" s="1321"/>
      <c r="GF1" s="1321"/>
      <c r="GG1" s="1321"/>
      <c r="GH1" s="1321"/>
      <c r="GI1" s="1321"/>
      <c r="GJ1" s="1321"/>
      <c r="GK1" s="1321"/>
      <c r="GL1" s="1321"/>
      <c r="GM1" s="1321"/>
      <c r="GN1" s="1321"/>
      <c r="GO1" s="1321"/>
      <c r="GP1" s="1321"/>
      <c r="GQ1" s="1321"/>
      <c r="GR1" s="1321"/>
      <c r="GS1" s="1321"/>
      <c r="GT1" s="1321"/>
      <c r="GU1" s="1321"/>
      <c r="GV1" s="1321"/>
      <c r="GW1" s="1321"/>
      <c r="GX1" s="1321"/>
      <c r="GY1" s="1321"/>
      <c r="GZ1" s="1321"/>
      <c r="HA1" s="1321"/>
      <c r="HB1" s="1321"/>
      <c r="HC1" s="1321"/>
      <c r="HD1" s="1321"/>
      <c r="HE1" s="1321"/>
      <c r="HF1" s="1321"/>
      <c r="HG1" s="1321"/>
      <c r="HH1" s="1321"/>
      <c r="HI1" s="1321"/>
      <c r="HJ1" s="1321"/>
      <c r="HK1" s="1321"/>
      <c r="HL1" s="1321"/>
      <c r="HM1" s="1321"/>
      <c r="HN1" s="1321"/>
      <c r="HO1" s="1321"/>
      <c r="HP1" s="1321"/>
      <c r="HQ1" s="1321"/>
      <c r="HR1" s="1321"/>
      <c r="HS1" s="1321"/>
      <c r="HT1" s="1321"/>
      <c r="HU1" s="1321"/>
      <c r="HV1" s="1321"/>
      <c r="HW1" s="1321"/>
      <c r="HX1" s="1321"/>
      <c r="HY1" s="1321"/>
      <c r="HZ1" s="1321"/>
      <c r="IA1" s="1321"/>
      <c r="IB1" s="1321"/>
      <c r="IC1" s="1321"/>
      <c r="ID1" s="1321"/>
      <c r="IE1" s="1321"/>
      <c r="IF1" s="1321"/>
      <c r="IG1" s="1321"/>
      <c r="IH1" s="1321"/>
      <c r="II1" s="1321"/>
      <c r="IJ1" s="1321"/>
      <c r="IK1" s="1321"/>
      <c r="IL1" s="1321"/>
      <c r="IM1" s="1321"/>
      <c r="IN1" s="1321"/>
      <c r="IO1" s="1321"/>
      <c r="IP1" s="1321"/>
      <c r="IQ1" s="1321"/>
      <c r="IR1" s="1321"/>
      <c r="IS1" s="1321"/>
      <c r="IT1" s="1321"/>
      <c r="IU1" s="1321"/>
      <c r="IV1" s="1321"/>
    </row>
    <row r="2" spans="1:256" ht="16.5" thickBot="1">
      <c r="A2" s="1322" t="s">
        <v>1259</v>
      </c>
      <c r="B2" s="1323"/>
      <c r="C2" s="1635" t="s">
        <v>1262</v>
      </c>
      <c r="D2" s="1635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1"/>
      <c r="V2" s="1321"/>
      <c r="W2" s="1321"/>
      <c r="X2" s="1321"/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1"/>
      <c r="AM2" s="1321"/>
      <c r="AN2" s="1321"/>
      <c r="AO2" s="1321"/>
      <c r="AP2" s="1321"/>
      <c r="AQ2" s="1321"/>
      <c r="AR2" s="1321"/>
      <c r="AS2" s="1321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  <c r="BF2" s="1321"/>
      <c r="BG2" s="1321"/>
      <c r="BH2" s="1321"/>
      <c r="BI2" s="1321"/>
      <c r="BJ2" s="1321"/>
      <c r="BK2" s="1321"/>
      <c r="BL2" s="1321"/>
      <c r="BM2" s="1321"/>
      <c r="BN2" s="1321"/>
      <c r="BO2" s="1321"/>
      <c r="BP2" s="1321"/>
      <c r="BQ2" s="1321"/>
      <c r="BR2" s="1321"/>
      <c r="BS2" s="1321"/>
      <c r="BT2" s="1321"/>
      <c r="BU2" s="1321"/>
      <c r="BV2" s="1321"/>
      <c r="BW2" s="1321"/>
      <c r="BX2" s="1321"/>
      <c r="BY2" s="1321"/>
      <c r="BZ2" s="1321"/>
      <c r="CA2" s="1321"/>
      <c r="CB2" s="1321"/>
      <c r="CC2" s="1321"/>
      <c r="CD2" s="1321"/>
      <c r="CE2" s="1321"/>
      <c r="CF2" s="1321"/>
      <c r="CG2" s="1321"/>
      <c r="CH2" s="1321"/>
      <c r="CI2" s="1321"/>
      <c r="CJ2" s="1321"/>
      <c r="CK2" s="1321"/>
      <c r="CL2" s="1321"/>
      <c r="CM2" s="1321"/>
      <c r="CN2" s="1321"/>
      <c r="CO2" s="1321"/>
      <c r="CP2" s="1321"/>
      <c r="CQ2" s="1321"/>
      <c r="CR2" s="1321"/>
      <c r="CS2" s="1321"/>
      <c r="CT2" s="1321"/>
      <c r="CU2" s="1321"/>
      <c r="CV2" s="1321"/>
      <c r="CW2" s="1321"/>
      <c r="CX2" s="1321"/>
      <c r="CY2" s="1321"/>
      <c r="CZ2" s="1321"/>
      <c r="DA2" s="1321"/>
      <c r="DB2" s="1321"/>
      <c r="DC2" s="1321"/>
      <c r="DD2" s="1321"/>
      <c r="DE2" s="1321"/>
      <c r="DF2" s="1321"/>
      <c r="DG2" s="1321"/>
      <c r="DH2" s="1321"/>
      <c r="DI2" s="1321"/>
      <c r="DJ2" s="1321"/>
      <c r="DK2" s="1321"/>
      <c r="DL2" s="1321"/>
      <c r="DM2" s="1321"/>
      <c r="DN2" s="1321"/>
      <c r="DO2" s="1321"/>
      <c r="DP2" s="1321"/>
      <c r="DQ2" s="1321"/>
      <c r="DR2" s="1321"/>
      <c r="DS2" s="1321"/>
      <c r="DT2" s="1321"/>
      <c r="DU2" s="1321"/>
      <c r="DV2" s="1321"/>
      <c r="DW2" s="1321"/>
      <c r="DX2" s="1321"/>
      <c r="DY2" s="1321"/>
      <c r="DZ2" s="1321"/>
      <c r="EA2" s="1321"/>
      <c r="EB2" s="1321"/>
      <c r="EC2" s="1321"/>
      <c r="ED2" s="1321"/>
      <c r="EE2" s="1321"/>
      <c r="EF2" s="1321"/>
      <c r="EG2" s="1321"/>
      <c r="EH2" s="1321"/>
      <c r="EI2" s="1321"/>
      <c r="EJ2" s="1321"/>
      <c r="EK2" s="1321"/>
      <c r="EL2" s="1321"/>
      <c r="EM2" s="1321"/>
      <c r="EN2" s="1321"/>
      <c r="EO2" s="1321"/>
      <c r="EP2" s="1321"/>
      <c r="EQ2" s="1321"/>
      <c r="ER2" s="1321"/>
      <c r="ES2" s="1321"/>
      <c r="ET2" s="1321"/>
      <c r="EU2" s="1321"/>
      <c r="EV2" s="1321"/>
      <c r="EW2" s="1321"/>
      <c r="EX2" s="1321"/>
      <c r="EY2" s="1321"/>
      <c r="EZ2" s="1321"/>
      <c r="FA2" s="1321"/>
      <c r="FB2" s="1321"/>
      <c r="FC2" s="1321"/>
      <c r="FD2" s="1321"/>
      <c r="FE2" s="1321"/>
      <c r="FF2" s="1321"/>
      <c r="FG2" s="1321"/>
      <c r="FH2" s="1321"/>
      <c r="FI2" s="1321"/>
      <c r="FJ2" s="1321"/>
      <c r="FK2" s="1321"/>
      <c r="FL2" s="1321"/>
      <c r="FM2" s="1321"/>
      <c r="FN2" s="1321"/>
      <c r="FO2" s="1321"/>
      <c r="FP2" s="1321"/>
      <c r="FQ2" s="1321"/>
      <c r="FR2" s="1321"/>
      <c r="FS2" s="1321"/>
      <c r="FT2" s="1321"/>
      <c r="FU2" s="1321"/>
      <c r="FV2" s="1321"/>
      <c r="FW2" s="1321"/>
      <c r="FX2" s="1321"/>
      <c r="FY2" s="1321"/>
      <c r="FZ2" s="1321"/>
      <c r="GA2" s="1321"/>
      <c r="GB2" s="1321"/>
      <c r="GC2" s="1321"/>
      <c r="GD2" s="1321"/>
      <c r="GE2" s="1321"/>
      <c r="GF2" s="1321"/>
      <c r="GG2" s="1321"/>
      <c r="GH2" s="1321"/>
      <c r="GI2" s="1321"/>
      <c r="GJ2" s="1321"/>
      <c r="GK2" s="1321"/>
      <c r="GL2" s="1321"/>
      <c r="GM2" s="1321"/>
      <c r="GN2" s="1321"/>
      <c r="GO2" s="1321"/>
      <c r="GP2" s="1321"/>
      <c r="GQ2" s="1321"/>
      <c r="GR2" s="1321"/>
      <c r="GS2" s="1321"/>
      <c r="GT2" s="1321"/>
      <c r="GU2" s="1321"/>
      <c r="GV2" s="1321"/>
      <c r="GW2" s="1321"/>
      <c r="GX2" s="1321"/>
      <c r="GY2" s="1321"/>
      <c r="GZ2" s="1321"/>
      <c r="HA2" s="1321"/>
      <c r="HB2" s="1321"/>
      <c r="HC2" s="1321"/>
      <c r="HD2" s="1321"/>
      <c r="HE2" s="1321"/>
      <c r="HF2" s="1321"/>
      <c r="HG2" s="1321"/>
      <c r="HH2" s="1321"/>
      <c r="HI2" s="1321"/>
      <c r="HJ2" s="1321"/>
      <c r="HK2" s="1321"/>
      <c r="HL2" s="1321"/>
      <c r="HM2" s="1321"/>
      <c r="HN2" s="1321"/>
      <c r="HO2" s="1321"/>
      <c r="HP2" s="1321"/>
      <c r="HQ2" s="1321"/>
      <c r="HR2" s="1321"/>
      <c r="HS2" s="1321"/>
      <c r="HT2" s="1321"/>
      <c r="HU2" s="1321"/>
      <c r="HV2" s="1321"/>
      <c r="HW2" s="1321"/>
      <c r="HX2" s="1321"/>
      <c r="HY2" s="1321"/>
      <c r="HZ2" s="1321"/>
      <c r="IA2" s="1321"/>
      <c r="IB2" s="1321"/>
      <c r="IC2" s="1321"/>
      <c r="ID2" s="1321"/>
      <c r="IE2" s="1321"/>
      <c r="IF2" s="1321"/>
      <c r="IG2" s="1321"/>
      <c r="IH2" s="1321"/>
      <c r="II2" s="1321"/>
      <c r="IJ2" s="1321"/>
      <c r="IK2" s="1321"/>
      <c r="IL2" s="1321"/>
      <c r="IM2" s="1321"/>
      <c r="IN2" s="1321"/>
      <c r="IO2" s="1321"/>
      <c r="IP2" s="1321"/>
      <c r="IQ2" s="1321"/>
      <c r="IR2" s="1321"/>
      <c r="IS2" s="1321"/>
      <c r="IT2" s="1321"/>
      <c r="IU2" s="1321"/>
      <c r="IV2" s="1321"/>
    </row>
    <row r="3" spans="1:256" ht="15.75" customHeight="1" thickBot="1">
      <c r="A3" s="1636" t="s">
        <v>1263</v>
      </c>
      <c r="B3" s="1637" t="s">
        <v>6</v>
      </c>
      <c r="C3" s="1638" t="s">
        <v>1264</v>
      </c>
      <c r="D3" s="1638" t="s">
        <v>1265</v>
      </c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321"/>
      <c r="AN3" s="1321"/>
      <c r="AO3" s="1321"/>
      <c r="AP3" s="1321"/>
      <c r="AQ3" s="1321"/>
      <c r="AR3" s="1321"/>
      <c r="AS3" s="1321"/>
      <c r="AT3" s="1321"/>
      <c r="AU3" s="1321"/>
      <c r="AV3" s="1321"/>
      <c r="AW3" s="1321"/>
      <c r="AX3" s="1321"/>
      <c r="AY3" s="1321"/>
      <c r="AZ3" s="1321"/>
      <c r="BA3" s="1321"/>
      <c r="BB3" s="1321"/>
      <c r="BC3" s="1321"/>
      <c r="BD3" s="1321"/>
      <c r="BE3" s="1321"/>
      <c r="BF3" s="1321"/>
      <c r="BG3" s="1321"/>
      <c r="BH3" s="1321"/>
      <c r="BI3" s="1321"/>
      <c r="BJ3" s="1321"/>
      <c r="BK3" s="1321"/>
      <c r="BL3" s="1321"/>
      <c r="BM3" s="1321"/>
      <c r="BN3" s="1321"/>
      <c r="BO3" s="1321"/>
      <c r="BP3" s="1321"/>
      <c r="BQ3" s="1321"/>
      <c r="BR3" s="1321"/>
      <c r="BS3" s="1321"/>
      <c r="BT3" s="1321"/>
      <c r="BU3" s="1321"/>
      <c r="BV3" s="1321"/>
      <c r="BW3" s="1321"/>
      <c r="BX3" s="1321"/>
      <c r="BY3" s="1321"/>
      <c r="BZ3" s="1321"/>
      <c r="CA3" s="1321"/>
      <c r="CB3" s="1321"/>
      <c r="CC3" s="1321"/>
      <c r="CD3" s="1321"/>
      <c r="CE3" s="1321"/>
      <c r="CF3" s="1321"/>
      <c r="CG3" s="1321"/>
      <c r="CH3" s="1321"/>
      <c r="CI3" s="1321"/>
      <c r="CJ3" s="1321"/>
      <c r="CK3" s="1321"/>
      <c r="CL3" s="1321"/>
      <c r="CM3" s="1321"/>
      <c r="CN3" s="1321"/>
      <c r="CO3" s="1321"/>
      <c r="CP3" s="1321"/>
      <c r="CQ3" s="1321"/>
      <c r="CR3" s="1321"/>
      <c r="CS3" s="1321"/>
      <c r="CT3" s="1321"/>
      <c r="CU3" s="1321"/>
      <c r="CV3" s="1321"/>
      <c r="CW3" s="1321"/>
      <c r="CX3" s="1321"/>
      <c r="CY3" s="1321"/>
      <c r="CZ3" s="1321"/>
      <c r="DA3" s="1321"/>
      <c r="DB3" s="1321"/>
      <c r="DC3" s="1321"/>
      <c r="DD3" s="1321"/>
      <c r="DE3" s="1321"/>
      <c r="DF3" s="1321"/>
      <c r="DG3" s="1321"/>
      <c r="DH3" s="1321"/>
      <c r="DI3" s="1321"/>
      <c r="DJ3" s="1321"/>
      <c r="DK3" s="1321"/>
      <c r="DL3" s="1321"/>
      <c r="DM3" s="1321"/>
      <c r="DN3" s="1321"/>
      <c r="DO3" s="1321"/>
      <c r="DP3" s="1321"/>
      <c r="DQ3" s="1321"/>
      <c r="DR3" s="1321"/>
      <c r="DS3" s="1321"/>
      <c r="DT3" s="1321"/>
      <c r="DU3" s="1321"/>
      <c r="DV3" s="1321"/>
      <c r="DW3" s="1321"/>
      <c r="DX3" s="1321"/>
      <c r="DY3" s="1321"/>
      <c r="DZ3" s="1321"/>
      <c r="EA3" s="1321"/>
      <c r="EB3" s="1321"/>
      <c r="EC3" s="1321"/>
      <c r="ED3" s="1321"/>
      <c r="EE3" s="1321"/>
      <c r="EF3" s="1321"/>
      <c r="EG3" s="1321"/>
      <c r="EH3" s="1321"/>
      <c r="EI3" s="1321"/>
      <c r="EJ3" s="1321"/>
      <c r="EK3" s="1321"/>
      <c r="EL3" s="1321"/>
      <c r="EM3" s="1321"/>
      <c r="EN3" s="1321"/>
      <c r="EO3" s="1321"/>
      <c r="EP3" s="1321"/>
      <c r="EQ3" s="1321"/>
      <c r="ER3" s="1321"/>
      <c r="ES3" s="1321"/>
      <c r="ET3" s="1321"/>
      <c r="EU3" s="1321"/>
      <c r="EV3" s="1321"/>
      <c r="EW3" s="1321"/>
      <c r="EX3" s="1321"/>
      <c r="EY3" s="1321"/>
      <c r="EZ3" s="1321"/>
      <c r="FA3" s="1321"/>
      <c r="FB3" s="1321"/>
      <c r="FC3" s="1321"/>
      <c r="FD3" s="1321"/>
      <c r="FE3" s="1321"/>
      <c r="FF3" s="1321"/>
      <c r="FG3" s="1321"/>
      <c r="FH3" s="1321"/>
      <c r="FI3" s="1321"/>
      <c r="FJ3" s="1321"/>
      <c r="FK3" s="1321"/>
      <c r="FL3" s="1321"/>
      <c r="FM3" s="1321"/>
      <c r="FN3" s="1321"/>
      <c r="FO3" s="1321"/>
      <c r="FP3" s="1321"/>
      <c r="FQ3" s="1321"/>
      <c r="FR3" s="1321"/>
      <c r="FS3" s="1321"/>
      <c r="FT3" s="1321"/>
      <c r="FU3" s="1321"/>
      <c r="FV3" s="1321"/>
      <c r="FW3" s="1321"/>
      <c r="FX3" s="1321"/>
      <c r="FY3" s="1321"/>
      <c r="FZ3" s="1321"/>
      <c r="GA3" s="1321"/>
      <c r="GB3" s="1321"/>
      <c r="GC3" s="1321"/>
      <c r="GD3" s="1321"/>
      <c r="GE3" s="1321"/>
      <c r="GF3" s="1321"/>
      <c r="GG3" s="1321"/>
      <c r="GH3" s="1321"/>
      <c r="GI3" s="1321"/>
      <c r="GJ3" s="1321"/>
      <c r="GK3" s="1321"/>
      <c r="GL3" s="1321"/>
      <c r="GM3" s="1321"/>
      <c r="GN3" s="1321"/>
      <c r="GO3" s="1321"/>
      <c r="GP3" s="1321"/>
      <c r="GQ3" s="1321"/>
      <c r="GR3" s="1321"/>
      <c r="GS3" s="1321"/>
      <c r="GT3" s="1321"/>
      <c r="GU3" s="1321"/>
      <c r="GV3" s="1321"/>
      <c r="GW3" s="1321"/>
      <c r="GX3" s="1321"/>
      <c r="GY3" s="1321"/>
      <c r="GZ3" s="1321"/>
      <c r="HA3" s="1321"/>
      <c r="HB3" s="1321"/>
      <c r="HC3" s="1321"/>
      <c r="HD3" s="1321"/>
      <c r="HE3" s="1321"/>
      <c r="HF3" s="1321"/>
      <c r="HG3" s="1321"/>
      <c r="HH3" s="1321"/>
      <c r="HI3" s="1321"/>
      <c r="HJ3" s="1321"/>
      <c r="HK3" s="1321"/>
      <c r="HL3" s="1321"/>
      <c r="HM3" s="1321"/>
      <c r="HN3" s="1321"/>
      <c r="HO3" s="1321"/>
      <c r="HP3" s="1321"/>
      <c r="HQ3" s="1321"/>
      <c r="HR3" s="1321"/>
      <c r="HS3" s="1321"/>
      <c r="HT3" s="1321"/>
      <c r="HU3" s="1321"/>
      <c r="HV3" s="1321"/>
      <c r="HW3" s="1321"/>
      <c r="HX3" s="1321"/>
      <c r="HY3" s="1321"/>
      <c r="HZ3" s="1321"/>
      <c r="IA3" s="1321"/>
      <c r="IB3" s="1321"/>
      <c r="IC3" s="1321"/>
      <c r="ID3" s="1321"/>
      <c r="IE3" s="1321"/>
      <c r="IF3" s="1321"/>
      <c r="IG3" s="1321"/>
      <c r="IH3" s="1321"/>
      <c r="II3" s="1321"/>
      <c r="IJ3" s="1321"/>
      <c r="IK3" s="1321"/>
      <c r="IL3" s="1321"/>
      <c r="IM3" s="1321"/>
      <c r="IN3" s="1321"/>
      <c r="IO3" s="1321"/>
      <c r="IP3" s="1321"/>
      <c r="IQ3" s="1321"/>
      <c r="IR3" s="1321"/>
      <c r="IS3" s="1321"/>
      <c r="IT3" s="1321"/>
      <c r="IU3" s="1321"/>
      <c r="IV3" s="1321"/>
    </row>
    <row r="4" spans="1:256" ht="11.25" customHeight="1" thickBot="1">
      <c r="A4" s="1636"/>
      <c r="B4" s="1637"/>
      <c r="C4" s="1638"/>
      <c r="D4" s="1638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1"/>
      <c r="AG4" s="1321"/>
      <c r="AH4" s="1321"/>
      <c r="AI4" s="1321"/>
      <c r="AJ4" s="1321"/>
      <c r="AK4" s="1321"/>
      <c r="AL4" s="1321"/>
      <c r="AM4" s="1321"/>
      <c r="AN4" s="1321"/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1321"/>
      <c r="BB4" s="1321"/>
      <c r="BC4" s="1321"/>
      <c r="BD4" s="1321"/>
      <c r="BE4" s="1321"/>
      <c r="BF4" s="1321"/>
      <c r="BG4" s="1321"/>
      <c r="BH4" s="1321"/>
      <c r="BI4" s="1321"/>
      <c r="BJ4" s="1321"/>
      <c r="BK4" s="1321"/>
      <c r="BL4" s="1321"/>
      <c r="BM4" s="1321"/>
      <c r="BN4" s="1321"/>
      <c r="BO4" s="1321"/>
      <c r="BP4" s="1321"/>
      <c r="BQ4" s="1321"/>
      <c r="BR4" s="1321"/>
      <c r="BS4" s="1321"/>
      <c r="BT4" s="1321"/>
      <c r="BU4" s="1321"/>
      <c r="BV4" s="1321"/>
      <c r="BW4" s="1321"/>
      <c r="BX4" s="1321"/>
      <c r="BY4" s="1321"/>
      <c r="BZ4" s="1321"/>
      <c r="CA4" s="1321"/>
      <c r="CB4" s="1321"/>
      <c r="CC4" s="1321"/>
      <c r="CD4" s="1321"/>
      <c r="CE4" s="1321"/>
      <c r="CF4" s="1321"/>
      <c r="CG4" s="1321"/>
      <c r="CH4" s="1321"/>
      <c r="CI4" s="1321"/>
      <c r="CJ4" s="1321"/>
      <c r="CK4" s="1321"/>
      <c r="CL4" s="1321"/>
      <c r="CM4" s="1321"/>
      <c r="CN4" s="1321"/>
      <c r="CO4" s="1321"/>
      <c r="CP4" s="1321"/>
      <c r="CQ4" s="1321"/>
      <c r="CR4" s="1321"/>
      <c r="CS4" s="1321"/>
      <c r="CT4" s="1321"/>
      <c r="CU4" s="1321"/>
      <c r="CV4" s="1321"/>
      <c r="CW4" s="1321"/>
      <c r="CX4" s="1321"/>
      <c r="CY4" s="1321"/>
      <c r="CZ4" s="1321"/>
      <c r="DA4" s="1321"/>
      <c r="DB4" s="1321"/>
      <c r="DC4" s="1321"/>
      <c r="DD4" s="1321"/>
      <c r="DE4" s="1321"/>
      <c r="DF4" s="1321"/>
      <c r="DG4" s="1321"/>
      <c r="DH4" s="1321"/>
      <c r="DI4" s="1321"/>
      <c r="DJ4" s="1321"/>
      <c r="DK4" s="1321"/>
      <c r="DL4" s="1321"/>
      <c r="DM4" s="1321"/>
      <c r="DN4" s="1321"/>
      <c r="DO4" s="1321"/>
      <c r="DP4" s="1321"/>
      <c r="DQ4" s="1321"/>
      <c r="DR4" s="1321"/>
      <c r="DS4" s="1321"/>
      <c r="DT4" s="1321"/>
      <c r="DU4" s="1321"/>
      <c r="DV4" s="1321"/>
      <c r="DW4" s="1321"/>
      <c r="DX4" s="1321"/>
      <c r="DY4" s="1321"/>
      <c r="DZ4" s="1321"/>
      <c r="EA4" s="1321"/>
      <c r="EB4" s="1321"/>
      <c r="EC4" s="1321"/>
      <c r="ED4" s="1321"/>
      <c r="EE4" s="1321"/>
      <c r="EF4" s="1321"/>
      <c r="EG4" s="1321"/>
      <c r="EH4" s="1321"/>
      <c r="EI4" s="1321"/>
      <c r="EJ4" s="1321"/>
      <c r="EK4" s="1321"/>
      <c r="EL4" s="1321"/>
      <c r="EM4" s="1321"/>
      <c r="EN4" s="1321"/>
      <c r="EO4" s="1321"/>
      <c r="EP4" s="1321"/>
      <c r="EQ4" s="1321"/>
      <c r="ER4" s="1321"/>
      <c r="ES4" s="1321"/>
      <c r="ET4" s="1321"/>
      <c r="EU4" s="1321"/>
      <c r="EV4" s="1321"/>
      <c r="EW4" s="1321"/>
      <c r="EX4" s="1321"/>
      <c r="EY4" s="1321"/>
      <c r="EZ4" s="1321"/>
      <c r="FA4" s="1321"/>
      <c r="FB4" s="1321"/>
      <c r="FC4" s="1321"/>
      <c r="FD4" s="1321"/>
      <c r="FE4" s="1321"/>
      <c r="FF4" s="1321"/>
      <c r="FG4" s="1321"/>
      <c r="FH4" s="1321"/>
      <c r="FI4" s="1321"/>
      <c r="FJ4" s="1321"/>
      <c r="FK4" s="1321"/>
      <c r="FL4" s="1321"/>
      <c r="FM4" s="1321"/>
      <c r="FN4" s="1321"/>
      <c r="FO4" s="1321"/>
      <c r="FP4" s="1321"/>
      <c r="FQ4" s="1321"/>
      <c r="FR4" s="1321"/>
      <c r="FS4" s="1321"/>
      <c r="FT4" s="1321"/>
      <c r="FU4" s="1321"/>
      <c r="FV4" s="1321"/>
      <c r="FW4" s="1321"/>
      <c r="FX4" s="1321"/>
      <c r="FY4" s="1321"/>
      <c r="FZ4" s="1321"/>
      <c r="GA4" s="1321"/>
      <c r="GB4" s="1321"/>
      <c r="GC4" s="1321"/>
      <c r="GD4" s="1321"/>
      <c r="GE4" s="1321"/>
      <c r="GF4" s="1321"/>
      <c r="GG4" s="1321"/>
      <c r="GH4" s="1321"/>
      <c r="GI4" s="1321"/>
      <c r="GJ4" s="1321"/>
      <c r="GK4" s="1321"/>
      <c r="GL4" s="1321"/>
      <c r="GM4" s="1321"/>
      <c r="GN4" s="1321"/>
      <c r="GO4" s="1321"/>
      <c r="GP4" s="1321"/>
      <c r="GQ4" s="1321"/>
      <c r="GR4" s="1321"/>
      <c r="GS4" s="1321"/>
      <c r="GT4" s="1321"/>
      <c r="GU4" s="1321"/>
      <c r="GV4" s="1321"/>
      <c r="GW4" s="1321"/>
      <c r="GX4" s="1321"/>
      <c r="GY4" s="1321"/>
      <c r="GZ4" s="1321"/>
      <c r="HA4" s="1321"/>
      <c r="HB4" s="1321"/>
      <c r="HC4" s="1321"/>
      <c r="HD4" s="1321"/>
      <c r="HE4" s="1321"/>
      <c r="HF4" s="1321"/>
      <c r="HG4" s="1321"/>
      <c r="HH4" s="1321"/>
      <c r="HI4" s="1321"/>
      <c r="HJ4" s="1321"/>
      <c r="HK4" s="1321"/>
      <c r="HL4" s="1321"/>
      <c r="HM4" s="1321"/>
      <c r="HN4" s="1321"/>
      <c r="HO4" s="1321"/>
      <c r="HP4" s="1321"/>
      <c r="HQ4" s="1321"/>
      <c r="HR4" s="1321"/>
      <c r="HS4" s="1321"/>
      <c r="HT4" s="1321"/>
      <c r="HU4" s="1321"/>
      <c r="HV4" s="1321"/>
      <c r="HW4" s="1321"/>
      <c r="HX4" s="1321"/>
      <c r="HY4" s="1321"/>
      <c r="HZ4" s="1321"/>
      <c r="IA4" s="1321"/>
      <c r="IB4" s="1321"/>
      <c r="IC4" s="1321"/>
      <c r="ID4" s="1321"/>
      <c r="IE4" s="1321"/>
      <c r="IF4" s="1321"/>
      <c r="IG4" s="1321"/>
      <c r="IH4" s="1321"/>
      <c r="II4" s="1321"/>
      <c r="IJ4" s="1321"/>
      <c r="IK4" s="1321"/>
      <c r="IL4" s="1321"/>
      <c r="IM4" s="1321"/>
      <c r="IN4" s="1321"/>
      <c r="IO4" s="1321"/>
      <c r="IP4" s="1321"/>
      <c r="IQ4" s="1321"/>
      <c r="IR4" s="1321"/>
      <c r="IS4" s="1321"/>
      <c r="IT4" s="1321"/>
      <c r="IU4" s="1321"/>
      <c r="IV4" s="1321"/>
    </row>
    <row r="5" spans="1:256" ht="12.75" customHeight="1">
      <c r="A5" s="1636"/>
      <c r="B5" s="1637"/>
      <c r="C5" s="1639" t="s">
        <v>1266</v>
      </c>
      <c r="D5" s="1639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1321"/>
      <c r="AN5" s="1321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1321"/>
      <c r="BB5" s="1321"/>
      <c r="BC5" s="1321"/>
      <c r="BD5" s="1321"/>
      <c r="BE5" s="1321"/>
      <c r="BF5" s="1321"/>
      <c r="BG5" s="1321"/>
      <c r="BH5" s="1321"/>
      <c r="BI5" s="1321"/>
      <c r="BJ5" s="1321"/>
      <c r="BK5" s="1321"/>
      <c r="BL5" s="1321"/>
      <c r="BM5" s="1321"/>
      <c r="BN5" s="1321"/>
      <c r="BO5" s="1321"/>
      <c r="BP5" s="1321"/>
      <c r="BQ5" s="1321"/>
      <c r="BR5" s="1321"/>
      <c r="BS5" s="1321"/>
      <c r="BT5" s="1321"/>
      <c r="BU5" s="1321"/>
      <c r="BV5" s="1321"/>
      <c r="BW5" s="1321"/>
      <c r="BX5" s="1321"/>
      <c r="BY5" s="1321"/>
      <c r="BZ5" s="1321"/>
      <c r="CA5" s="1321"/>
      <c r="CB5" s="1321"/>
      <c r="CC5" s="1321"/>
      <c r="CD5" s="1321"/>
      <c r="CE5" s="1321"/>
      <c r="CF5" s="1321"/>
      <c r="CG5" s="1321"/>
      <c r="CH5" s="1321"/>
      <c r="CI5" s="1321"/>
      <c r="CJ5" s="1321"/>
      <c r="CK5" s="1321"/>
      <c r="CL5" s="1321"/>
      <c r="CM5" s="1321"/>
      <c r="CN5" s="1321"/>
      <c r="CO5" s="1321"/>
      <c r="CP5" s="1321"/>
      <c r="CQ5" s="1321"/>
      <c r="CR5" s="1321"/>
      <c r="CS5" s="1321"/>
      <c r="CT5" s="1321"/>
      <c r="CU5" s="1321"/>
      <c r="CV5" s="1321"/>
      <c r="CW5" s="1321"/>
      <c r="CX5" s="1321"/>
      <c r="CY5" s="1321"/>
      <c r="CZ5" s="1321"/>
      <c r="DA5" s="1321"/>
      <c r="DB5" s="1321"/>
      <c r="DC5" s="1321"/>
      <c r="DD5" s="1321"/>
      <c r="DE5" s="1321"/>
      <c r="DF5" s="1321"/>
      <c r="DG5" s="1321"/>
      <c r="DH5" s="1321"/>
      <c r="DI5" s="1321"/>
      <c r="DJ5" s="1321"/>
      <c r="DK5" s="1321"/>
      <c r="DL5" s="1321"/>
      <c r="DM5" s="1321"/>
      <c r="DN5" s="1321"/>
      <c r="DO5" s="1321"/>
      <c r="DP5" s="1321"/>
      <c r="DQ5" s="1321"/>
      <c r="DR5" s="1321"/>
      <c r="DS5" s="1321"/>
      <c r="DT5" s="1321"/>
      <c r="DU5" s="1321"/>
      <c r="DV5" s="1321"/>
      <c r="DW5" s="1321"/>
      <c r="DX5" s="1321"/>
      <c r="DY5" s="1321"/>
      <c r="DZ5" s="1321"/>
      <c r="EA5" s="1321"/>
      <c r="EB5" s="1321"/>
      <c r="EC5" s="1321"/>
      <c r="ED5" s="1321"/>
      <c r="EE5" s="1321"/>
      <c r="EF5" s="1321"/>
      <c r="EG5" s="1321"/>
      <c r="EH5" s="1321"/>
      <c r="EI5" s="1321"/>
      <c r="EJ5" s="1321"/>
      <c r="EK5" s="1321"/>
      <c r="EL5" s="1321"/>
      <c r="EM5" s="1321"/>
      <c r="EN5" s="1321"/>
      <c r="EO5" s="1321"/>
      <c r="EP5" s="1321"/>
      <c r="EQ5" s="1321"/>
      <c r="ER5" s="1321"/>
      <c r="ES5" s="1321"/>
      <c r="ET5" s="1321"/>
      <c r="EU5" s="1321"/>
      <c r="EV5" s="1321"/>
      <c r="EW5" s="1321"/>
      <c r="EX5" s="1321"/>
      <c r="EY5" s="1321"/>
      <c r="EZ5" s="1321"/>
      <c r="FA5" s="1321"/>
      <c r="FB5" s="1321"/>
      <c r="FC5" s="1321"/>
      <c r="FD5" s="1321"/>
      <c r="FE5" s="1321"/>
      <c r="FF5" s="1321"/>
      <c r="FG5" s="1321"/>
      <c r="FH5" s="1321"/>
      <c r="FI5" s="1321"/>
      <c r="FJ5" s="1321"/>
      <c r="FK5" s="1321"/>
      <c r="FL5" s="1321"/>
      <c r="FM5" s="1321"/>
      <c r="FN5" s="1321"/>
      <c r="FO5" s="1321"/>
      <c r="FP5" s="1321"/>
      <c r="FQ5" s="1321"/>
      <c r="FR5" s="1321"/>
      <c r="FS5" s="1321"/>
      <c r="FT5" s="1321"/>
      <c r="FU5" s="1321"/>
      <c r="FV5" s="1321"/>
      <c r="FW5" s="1321"/>
      <c r="FX5" s="1321"/>
      <c r="FY5" s="1321"/>
      <c r="FZ5" s="1321"/>
      <c r="GA5" s="1321"/>
      <c r="GB5" s="1321"/>
      <c r="GC5" s="1321"/>
      <c r="GD5" s="1321"/>
      <c r="GE5" s="1321"/>
      <c r="GF5" s="1321"/>
      <c r="GG5" s="1321"/>
      <c r="GH5" s="1321"/>
      <c r="GI5" s="1321"/>
      <c r="GJ5" s="1321"/>
      <c r="GK5" s="1321"/>
      <c r="GL5" s="1321"/>
      <c r="GM5" s="1321"/>
      <c r="GN5" s="1321"/>
      <c r="GO5" s="1321"/>
      <c r="GP5" s="1321"/>
      <c r="GQ5" s="1321"/>
      <c r="GR5" s="1321"/>
      <c r="GS5" s="1321"/>
      <c r="GT5" s="1321"/>
      <c r="GU5" s="1321"/>
      <c r="GV5" s="1321"/>
      <c r="GW5" s="1321"/>
      <c r="GX5" s="1321"/>
      <c r="GY5" s="1321"/>
      <c r="GZ5" s="1321"/>
      <c r="HA5" s="1321"/>
      <c r="HB5" s="1321"/>
      <c r="HC5" s="1321"/>
      <c r="HD5" s="1321"/>
      <c r="HE5" s="1321"/>
      <c r="HF5" s="1321"/>
      <c r="HG5" s="1321"/>
      <c r="HH5" s="1321"/>
      <c r="HI5" s="1321"/>
      <c r="HJ5" s="1321"/>
      <c r="HK5" s="1321"/>
      <c r="HL5" s="1321"/>
      <c r="HM5" s="1321"/>
      <c r="HN5" s="1321"/>
      <c r="HO5" s="1321"/>
      <c r="HP5" s="1321"/>
      <c r="HQ5" s="1321"/>
      <c r="HR5" s="1321"/>
      <c r="HS5" s="1321"/>
      <c r="HT5" s="1321"/>
      <c r="HU5" s="1321"/>
      <c r="HV5" s="1321"/>
      <c r="HW5" s="1321"/>
      <c r="HX5" s="1321"/>
      <c r="HY5" s="1321"/>
      <c r="HZ5" s="1321"/>
      <c r="IA5" s="1321"/>
      <c r="IB5" s="1321"/>
      <c r="IC5" s="1321"/>
      <c r="ID5" s="1321"/>
      <c r="IE5" s="1321"/>
      <c r="IF5" s="1321"/>
      <c r="IG5" s="1321"/>
      <c r="IH5" s="1321"/>
      <c r="II5" s="1321"/>
      <c r="IJ5" s="1321"/>
      <c r="IK5" s="1321"/>
      <c r="IL5" s="1321"/>
      <c r="IM5" s="1321"/>
      <c r="IN5" s="1321"/>
      <c r="IO5" s="1321"/>
      <c r="IP5" s="1321"/>
      <c r="IQ5" s="1321"/>
      <c r="IR5" s="1321"/>
      <c r="IS5" s="1321"/>
      <c r="IT5" s="1321"/>
      <c r="IU5" s="1321"/>
      <c r="IV5" s="1321"/>
    </row>
    <row r="6" spans="1:4" s="1326" customFormat="1" ht="16.5" thickBot="1">
      <c r="A6" s="1324" t="s">
        <v>1267</v>
      </c>
      <c r="B6" s="1325" t="s">
        <v>15</v>
      </c>
      <c r="C6" s="1325" t="s">
        <v>688</v>
      </c>
      <c r="D6" s="1325" t="s">
        <v>689</v>
      </c>
    </row>
    <row r="7" spans="1:4" s="1330" customFormat="1" ht="15.75">
      <c r="A7" s="1327" t="s">
        <v>1268</v>
      </c>
      <c r="B7" s="1328" t="s">
        <v>1269</v>
      </c>
      <c r="C7" s="1329">
        <f>SUM(C8:C11)</f>
        <v>25760743</v>
      </c>
      <c r="D7" s="1329">
        <f>SUM(D8:D11)</f>
        <v>2507898</v>
      </c>
    </row>
    <row r="8" spans="1:4" s="1330" customFormat="1" ht="15.75">
      <c r="A8" s="1331" t="s">
        <v>1270</v>
      </c>
      <c r="B8" s="1332" t="s">
        <v>1271</v>
      </c>
      <c r="C8" s="1333">
        <v>2507898</v>
      </c>
      <c r="D8" s="1333">
        <v>2507898</v>
      </c>
    </row>
    <row r="9" spans="1:4" s="1330" customFormat="1" ht="38.25">
      <c r="A9" s="1331" t="s">
        <v>1272</v>
      </c>
      <c r="B9" s="1332" t="s">
        <v>1273</v>
      </c>
      <c r="C9" s="1333"/>
      <c r="D9" s="1333"/>
    </row>
    <row r="10" spans="1:4" s="1330" customFormat="1" ht="15.75">
      <c r="A10" s="1331" t="s">
        <v>1274</v>
      </c>
      <c r="B10" s="1332" t="s">
        <v>1275</v>
      </c>
      <c r="C10" s="1333">
        <v>16890345</v>
      </c>
      <c r="D10" s="1333"/>
    </row>
    <row r="11" spans="1:4" s="1330" customFormat="1" ht="15.75">
      <c r="A11" s="1331" t="s">
        <v>1276</v>
      </c>
      <c r="B11" s="1332" t="s">
        <v>1277</v>
      </c>
      <c r="C11" s="1333">
        <v>6362500</v>
      </c>
      <c r="D11" s="1333"/>
    </row>
    <row r="12" spans="1:4" s="1330" customFormat="1" ht="15.75">
      <c r="A12" s="1334" t="s">
        <v>1278</v>
      </c>
      <c r="B12" s="1335" t="s">
        <v>1279</v>
      </c>
      <c r="C12" s="1336">
        <f>SUM(C13+C18+C23+C28+C33)</f>
        <v>1213320187</v>
      </c>
      <c r="D12" s="1336">
        <f>SUM(D13+D18+D23+D28+D33)</f>
        <v>875585867</v>
      </c>
    </row>
    <row r="13" spans="1:4" s="1330" customFormat="1" ht="15.75">
      <c r="A13" s="1334" t="s">
        <v>1280</v>
      </c>
      <c r="B13" s="1335" t="s">
        <v>1281</v>
      </c>
      <c r="C13" s="1336">
        <f>SUM(C14:C17)</f>
        <v>1115644937</v>
      </c>
      <c r="D13" s="1336">
        <f>SUM(D14:D17)</f>
        <v>822588674</v>
      </c>
    </row>
    <row r="14" spans="1:4" s="1330" customFormat="1" ht="15.75">
      <c r="A14" s="1331" t="s">
        <v>1282</v>
      </c>
      <c r="B14" s="1332" t="s">
        <v>1283</v>
      </c>
      <c r="C14" s="1333">
        <v>586653664</v>
      </c>
      <c r="D14" s="1333">
        <v>389534983</v>
      </c>
    </row>
    <row r="15" spans="1:4" s="1330" customFormat="1" ht="37.5" customHeight="1">
      <c r="A15" s="1331" t="s">
        <v>1284</v>
      </c>
      <c r="B15" s="1332" t="s">
        <v>1285</v>
      </c>
      <c r="C15" s="1333"/>
      <c r="D15" s="1333"/>
    </row>
    <row r="16" spans="1:4" s="1330" customFormat="1" ht="25.5">
      <c r="A16" s="1331" t="s">
        <v>1286</v>
      </c>
      <c r="B16" s="1332" t="s">
        <v>405</v>
      </c>
      <c r="C16" s="1333">
        <v>402701780</v>
      </c>
      <c r="D16" s="1333">
        <v>316982613</v>
      </c>
    </row>
    <row r="17" spans="1:4" s="1330" customFormat="1" ht="15.75">
      <c r="A17" s="1331" t="s">
        <v>1287</v>
      </c>
      <c r="B17" s="1332" t="s">
        <v>407</v>
      </c>
      <c r="C17" s="1333">
        <v>126289493</v>
      </c>
      <c r="D17" s="1333">
        <v>116071078</v>
      </c>
    </row>
    <row r="18" spans="1:4" s="1330" customFormat="1" ht="15.75">
      <c r="A18" s="1334" t="s">
        <v>1288</v>
      </c>
      <c r="B18" s="1335" t="s">
        <v>408</v>
      </c>
      <c r="C18" s="1337">
        <f>SUM(C19:C22)</f>
        <v>47085478</v>
      </c>
      <c r="D18" s="1337">
        <f>SUM(D19:D22)</f>
        <v>2407421</v>
      </c>
    </row>
    <row r="19" spans="1:4" s="1330" customFormat="1" ht="15.75">
      <c r="A19" s="1331" t="s">
        <v>1289</v>
      </c>
      <c r="B19" s="1332" t="s">
        <v>409</v>
      </c>
      <c r="C19" s="1333"/>
      <c r="D19" s="1333"/>
    </row>
    <row r="20" spans="1:4" s="1330" customFormat="1" ht="38.25">
      <c r="A20" s="1331" t="s">
        <v>1290</v>
      </c>
      <c r="B20" s="1332" t="s">
        <v>410</v>
      </c>
      <c r="C20" s="1333"/>
      <c r="D20" s="1333"/>
    </row>
    <row r="21" spans="1:4" s="1330" customFormat="1" ht="25.5">
      <c r="A21" s="1331" t="s">
        <v>1291</v>
      </c>
      <c r="B21" s="1332" t="s">
        <v>411</v>
      </c>
      <c r="C21" s="1333">
        <v>12194908</v>
      </c>
      <c r="D21" s="1333"/>
    </row>
    <row r="22" spans="1:4" s="1330" customFormat="1" ht="15.75">
      <c r="A22" s="1331" t="s">
        <v>1292</v>
      </c>
      <c r="B22" s="1332" t="s">
        <v>708</v>
      </c>
      <c r="C22" s="1333">
        <v>34890570</v>
      </c>
      <c r="D22" s="1333">
        <v>2407421</v>
      </c>
    </row>
    <row r="23" spans="1:4" s="1330" customFormat="1" ht="15.75">
      <c r="A23" s="1334" t="s">
        <v>1293</v>
      </c>
      <c r="B23" s="1335" t="s">
        <v>710</v>
      </c>
      <c r="C23" s="1338"/>
      <c r="D23" s="1338"/>
    </row>
    <row r="24" spans="1:4" s="1330" customFormat="1" ht="15.75">
      <c r="A24" s="1331" t="s">
        <v>1294</v>
      </c>
      <c r="B24" s="1332" t="s">
        <v>712</v>
      </c>
      <c r="C24" s="1333"/>
      <c r="D24" s="1333"/>
    </row>
    <row r="25" spans="1:4" s="1330" customFormat="1" ht="15.75">
      <c r="A25" s="1331" t="s">
        <v>1295</v>
      </c>
      <c r="B25" s="1332" t="s">
        <v>714</v>
      </c>
      <c r="C25" s="1333"/>
      <c r="D25" s="1333"/>
    </row>
    <row r="26" spans="1:4" s="1330" customFormat="1" ht="15.75">
      <c r="A26" s="1331" t="s">
        <v>1296</v>
      </c>
      <c r="B26" s="1332" t="s">
        <v>715</v>
      </c>
      <c r="C26" s="1333"/>
      <c r="D26" s="1333"/>
    </row>
    <row r="27" spans="1:4" s="1330" customFormat="1" ht="15.75">
      <c r="A27" s="1331" t="s">
        <v>1297</v>
      </c>
      <c r="B27" s="1332" t="s">
        <v>1298</v>
      </c>
      <c r="C27" s="1333"/>
      <c r="D27" s="1333"/>
    </row>
    <row r="28" spans="1:4" s="1330" customFormat="1" ht="15.75">
      <c r="A28" s="1334" t="s">
        <v>1299</v>
      </c>
      <c r="B28" s="1335" t="s">
        <v>1300</v>
      </c>
      <c r="C28" s="1337">
        <f>SUM(C29:C32)</f>
        <v>50589772</v>
      </c>
      <c r="D28" s="1337">
        <f>SUM(D29:D32)</f>
        <v>50589772</v>
      </c>
    </row>
    <row r="29" spans="1:4" s="1330" customFormat="1" ht="15.75">
      <c r="A29" s="1331" t="s">
        <v>1301</v>
      </c>
      <c r="B29" s="1332" t="s">
        <v>1302</v>
      </c>
      <c r="C29" s="1333">
        <v>50589772</v>
      </c>
      <c r="D29" s="1333">
        <v>50589772</v>
      </c>
    </row>
    <row r="30" spans="1:4" s="1330" customFormat="1" ht="25.5">
      <c r="A30" s="1331" t="s">
        <v>1303</v>
      </c>
      <c r="B30" s="1332" t="s">
        <v>1304</v>
      </c>
      <c r="C30" s="1333"/>
      <c r="D30" s="1333"/>
    </row>
    <row r="31" spans="1:4" s="1330" customFormat="1" ht="15.75">
      <c r="A31" s="1331" t="s">
        <v>1305</v>
      </c>
      <c r="B31" s="1332" t="s">
        <v>1306</v>
      </c>
      <c r="C31" s="1333"/>
      <c r="D31" s="1333"/>
    </row>
    <row r="32" spans="1:4" s="1330" customFormat="1" ht="15.75">
      <c r="A32" s="1331" t="s">
        <v>1307</v>
      </c>
      <c r="B32" s="1332" t="s">
        <v>1308</v>
      </c>
      <c r="C32" s="1333"/>
      <c r="D32" s="1333"/>
    </row>
    <row r="33" spans="1:4" s="1330" customFormat="1" ht="15.75">
      <c r="A33" s="1334" t="s">
        <v>1309</v>
      </c>
      <c r="B33" s="1335" t="s">
        <v>1310</v>
      </c>
      <c r="C33" s="1338"/>
      <c r="D33" s="1338"/>
    </row>
    <row r="34" spans="1:4" s="1330" customFormat="1" ht="15.75">
      <c r="A34" s="1331" t="s">
        <v>1311</v>
      </c>
      <c r="B34" s="1332" t="s">
        <v>1312</v>
      </c>
      <c r="C34" s="1333"/>
      <c r="D34" s="1333"/>
    </row>
    <row r="35" spans="1:4" s="1330" customFormat="1" ht="25.5">
      <c r="A35" s="1331" t="s">
        <v>1313</v>
      </c>
      <c r="B35" s="1332" t="s">
        <v>1314</v>
      </c>
      <c r="C35" s="1333"/>
      <c r="D35" s="1333"/>
    </row>
    <row r="36" spans="1:4" s="1330" customFormat="1" ht="15.75">
      <c r="A36" s="1331" t="s">
        <v>1315</v>
      </c>
      <c r="B36" s="1332" t="s">
        <v>1316</v>
      </c>
      <c r="C36" s="1333"/>
      <c r="D36" s="1333"/>
    </row>
    <row r="37" spans="1:4" s="1330" customFormat="1" ht="15.75">
      <c r="A37" s="1331" t="s">
        <v>1317</v>
      </c>
      <c r="B37" s="1332" t="s">
        <v>1318</v>
      </c>
      <c r="C37" s="1333"/>
      <c r="D37" s="1333"/>
    </row>
    <row r="38" spans="1:4" s="1330" customFormat="1" ht="15.75">
      <c r="A38" s="1334" t="s">
        <v>1319</v>
      </c>
      <c r="B38" s="1335" t="s">
        <v>1320</v>
      </c>
      <c r="C38" s="1337">
        <f>SUM(C39+C44+C49)</f>
        <v>0</v>
      </c>
      <c r="D38" s="1337">
        <f>SUM(D39+D44+D49)</f>
        <v>11580000</v>
      </c>
    </row>
    <row r="39" spans="1:4" s="1330" customFormat="1" ht="15.75">
      <c r="A39" s="1334" t="s">
        <v>1321</v>
      </c>
      <c r="B39" s="1335" t="s">
        <v>1322</v>
      </c>
      <c r="C39" s="1337">
        <f>SUM(C40:C43)</f>
        <v>0</v>
      </c>
      <c r="D39" s="1337">
        <f>SUM(D40:D43)</f>
        <v>11580000</v>
      </c>
    </row>
    <row r="40" spans="1:4" s="1330" customFormat="1" ht="15.75">
      <c r="A40" s="1331" t="s">
        <v>1323</v>
      </c>
      <c r="B40" s="1332" t="s">
        <v>1324</v>
      </c>
      <c r="C40" s="1333"/>
      <c r="D40" s="1333"/>
    </row>
    <row r="41" spans="1:4" s="1330" customFormat="1" ht="25.5">
      <c r="A41" s="1331" t="s">
        <v>1325</v>
      </c>
      <c r="B41" s="1332" t="s">
        <v>1326</v>
      </c>
      <c r="C41" s="1333"/>
      <c r="D41" s="1333"/>
    </row>
    <row r="42" spans="1:4" s="1330" customFormat="1" ht="15.75">
      <c r="A42" s="1331" t="s">
        <v>1327</v>
      </c>
      <c r="B42" s="1332" t="s">
        <v>1328</v>
      </c>
      <c r="C42" s="1333"/>
      <c r="D42" s="1333">
        <v>11580000</v>
      </c>
    </row>
    <row r="43" spans="1:4" s="1330" customFormat="1" ht="15.75">
      <c r="A43" s="1331" t="s">
        <v>1329</v>
      </c>
      <c r="B43" s="1332" t="s">
        <v>1330</v>
      </c>
      <c r="C43" s="1333"/>
      <c r="D43" s="1333"/>
    </row>
    <row r="44" spans="1:4" s="1330" customFormat="1" ht="15.75">
      <c r="A44" s="1334" t="s">
        <v>1331</v>
      </c>
      <c r="B44" s="1335" t="s">
        <v>1332</v>
      </c>
      <c r="C44" s="1338"/>
      <c r="D44" s="1338"/>
    </row>
    <row r="45" spans="1:4" s="1330" customFormat="1" ht="15.75">
      <c r="A45" s="1331" t="s">
        <v>1333</v>
      </c>
      <c r="B45" s="1332" t="s">
        <v>1334</v>
      </c>
      <c r="C45" s="1333"/>
      <c r="D45" s="1333"/>
    </row>
    <row r="46" spans="1:4" s="1330" customFormat="1" ht="38.25">
      <c r="A46" s="1331" t="s">
        <v>1335</v>
      </c>
      <c r="B46" s="1332" t="s">
        <v>1336</v>
      </c>
      <c r="C46" s="1333"/>
      <c r="D46" s="1333"/>
    </row>
    <row r="47" spans="1:4" s="1330" customFormat="1" ht="25.5">
      <c r="A47" s="1331" t="s">
        <v>1337</v>
      </c>
      <c r="B47" s="1332" t="s">
        <v>1338</v>
      </c>
      <c r="C47" s="1333"/>
      <c r="D47" s="1333"/>
    </row>
    <row r="48" spans="1:4" s="1330" customFormat="1" ht="15.75">
      <c r="A48" s="1331" t="s">
        <v>1339</v>
      </c>
      <c r="B48" s="1332" t="s">
        <v>1340</v>
      </c>
      <c r="C48" s="1333"/>
      <c r="D48" s="1333"/>
    </row>
    <row r="49" spans="1:4" s="1330" customFormat="1" ht="15.75">
      <c r="A49" s="1334" t="s">
        <v>1341</v>
      </c>
      <c r="B49" s="1335" t="s">
        <v>1342</v>
      </c>
      <c r="C49" s="1338"/>
      <c r="D49" s="1338"/>
    </row>
    <row r="50" spans="1:4" s="1330" customFormat="1" ht="15.75">
      <c r="A50" s="1331" t="s">
        <v>1343</v>
      </c>
      <c r="B50" s="1332" t="s">
        <v>1344</v>
      </c>
      <c r="C50" s="1333"/>
      <c r="D50" s="1333"/>
    </row>
    <row r="51" spans="1:4" s="1330" customFormat="1" ht="36.75" customHeight="1">
      <c r="A51" s="1331" t="s">
        <v>1345</v>
      </c>
      <c r="B51" s="1332" t="s">
        <v>1346</v>
      </c>
      <c r="C51" s="1333"/>
      <c r="D51" s="1333"/>
    </row>
    <row r="52" spans="1:4" s="1330" customFormat="1" ht="25.5">
      <c r="A52" s="1331" t="s">
        <v>1347</v>
      </c>
      <c r="B52" s="1332" t="s">
        <v>1348</v>
      </c>
      <c r="C52" s="1333"/>
      <c r="D52" s="1333"/>
    </row>
    <row r="53" spans="1:4" s="1330" customFormat="1" ht="15.75">
      <c r="A53" s="1331" t="s">
        <v>1349</v>
      </c>
      <c r="B53" s="1332" t="s">
        <v>1350</v>
      </c>
      <c r="C53" s="1333"/>
      <c r="D53" s="1333"/>
    </row>
    <row r="54" spans="1:4" s="1330" customFormat="1" ht="15.75">
      <c r="A54" s="1334" t="s">
        <v>1351</v>
      </c>
      <c r="B54" s="1332" t="s">
        <v>1352</v>
      </c>
      <c r="C54" s="1333">
        <v>478733598</v>
      </c>
      <c r="D54" s="1333">
        <v>349130541</v>
      </c>
    </row>
    <row r="55" spans="1:4" ht="25.5">
      <c r="A55" s="1334" t="s">
        <v>1353</v>
      </c>
      <c r="B55" s="1335" t="s">
        <v>1354</v>
      </c>
      <c r="C55" s="1337">
        <f>SUM(C7+C12+C38+C54)</f>
        <v>1717814528</v>
      </c>
      <c r="D55" s="1337">
        <f>SUM(D7+D12+D38+D54)</f>
        <v>1238804306</v>
      </c>
    </row>
    <row r="56" spans="1:4" ht="15.75">
      <c r="A56" s="1334" t="s">
        <v>1355</v>
      </c>
      <c r="B56" s="1332" t="s">
        <v>1356</v>
      </c>
      <c r="C56" s="1339"/>
      <c r="D56" s="1339"/>
    </row>
    <row r="57" spans="1:4" ht="15.75">
      <c r="A57" s="1334" t="s">
        <v>1357</v>
      </c>
      <c r="B57" s="1332" t="s">
        <v>1358</v>
      </c>
      <c r="C57" s="1333">
        <v>29500000</v>
      </c>
      <c r="D57" s="1333">
        <v>29500000</v>
      </c>
    </row>
    <row r="58" spans="1:4" ht="15.75">
      <c r="A58" s="1334" t="s">
        <v>1359</v>
      </c>
      <c r="B58" s="1335" t="s">
        <v>1360</v>
      </c>
      <c r="C58" s="1337"/>
      <c r="D58" s="1337">
        <f>SUM(D56:D57)</f>
        <v>29500000</v>
      </c>
    </row>
    <row r="59" spans="1:4" ht="15.75">
      <c r="A59" s="1334" t="s">
        <v>1361</v>
      </c>
      <c r="B59" s="1332" t="s">
        <v>1362</v>
      </c>
      <c r="C59" s="1340"/>
      <c r="D59" s="1339"/>
    </row>
    <row r="60" spans="1:4" ht="15.75">
      <c r="A60" s="1334" t="s">
        <v>1363</v>
      </c>
      <c r="B60" s="1332" t="s">
        <v>1364</v>
      </c>
      <c r="C60" s="1340"/>
      <c r="D60" s="1339"/>
    </row>
    <row r="61" spans="1:4" ht="15.75">
      <c r="A61" s="1334" t="s">
        <v>1365</v>
      </c>
      <c r="B61" s="1332" t="s">
        <v>1366</v>
      </c>
      <c r="C61" s="1340"/>
      <c r="D61" s="1339">
        <v>313690647</v>
      </c>
    </row>
    <row r="62" spans="1:4" ht="15.75">
      <c r="A62" s="1334" t="s">
        <v>1367</v>
      </c>
      <c r="B62" s="1332" t="s">
        <v>1368</v>
      </c>
      <c r="C62" s="1340"/>
      <c r="D62" s="1339"/>
    </row>
    <row r="63" spans="1:4" ht="15.75">
      <c r="A63" s="1334" t="s">
        <v>1369</v>
      </c>
      <c r="B63" s="1332" t="s">
        <v>1370</v>
      </c>
      <c r="C63" s="1340"/>
      <c r="D63" s="1339"/>
    </row>
    <row r="64" spans="1:4" ht="15.75">
      <c r="A64" s="1334" t="s">
        <v>1371</v>
      </c>
      <c r="B64" s="1335" t="s">
        <v>1372</v>
      </c>
      <c r="C64" s="1341"/>
      <c r="D64" s="1337">
        <f>SUM(D59:D63)</f>
        <v>313690647</v>
      </c>
    </row>
    <row r="65" spans="1:4" ht="15.75">
      <c r="A65" s="1334" t="s">
        <v>1373</v>
      </c>
      <c r="B65" s="1332" t="s">
        <v>1374</v>
      </c>
      <c r="C65" s="1340"/>
      <c r="D65" s="1339">
        <v>5699133</v>
      </c>
    </row>
    <row r="66" spans="1:4" ht="15.75">
      <c r="A66" s="1334" t="s">
        <v>1375</v>
      </c>
      <c r="B66" s="1332" t="s">
        <v>1376</v>
      </c>
      <c r="C66" s="1340"/>
      <c r="D66" s="1339"/>
    </row>
    <row r="67" spans="1:4" ht="15.75">
      <c r="A67" s="1334" t="s">
        <v>1377</v>
      </c>
      <c r="B67" s="1332" t="s">
        <v>1378</v>
      </c>
      <c r="C67" s="1340"/>
      <c r="D67" s="1339">
        <v>74588676</v>
      </c>
    </row>
    <row r="68" spans="1:4" ht="15.75">
      <c r="A68" s="1334" t="s">
        <v>1379</v>
      </c>
      <c r="B68" s="1335" t="s">
        <v>1380</v>
      </c>
      <c r="C68" s="1341"/>
      <c r="D68" s="1337">
        <f>SUM(D65:D67)</f>
        <v>80287809</v>
      </c>
    </row>
    <row r="69" spans="1:4" ht="15.75">
      <c r="A69" s="1334" t="s">
        <v>1381</v>
      </c>
      <c r="B69" s="1332" t="s">
        <v>1382</v>
      </c>
      <c r="C69" s="1340"/>
      <c r="D69" s="1339"/>
    </row>
    <row r="70" spans="1:4" ht="25.5">
      <c r="A70" s="1334" t="s">
        <v>1383</v>
      </c>
      <c r="B70" s="1332" t="s">
        <v>1384</v>
      </c>
      <c r="C70" s="1340"/>
      <c r="D70" s="1339"/>
    </row>
    <row r="71" spans="1:4" ht="15.75">
      <c r="A71" s="1334" t="s">
        <v>1385</v>
      </c>
      <c r="B71" s="1335" t="s">
        <v>1386</v>
      </c>
      <c r="C71" s="1341"/>
      <c r="D71" s="1337"/>
    </row>
    <row r="72" spans="1:4" ht="15.75">
      <c r="A72" s="1334" t="s">
        <v>1387</v>
      </c>
      <c r="B72" s="1335" t="s">
        <v>1388</v>
      </c>
      <c r="C72" s="1340"/>
      <c r="D72" s="1339"/>
    </row>
    <row r="73" spans="1:4" ht="16.5" thickBot="1">
      <c r="A73" s="1342" t="s">
        <v>1389</v>
      </c>
      <c r="B73" s="1335" t="s">
        <v>1390</v>
      </c>
      <c r="C73" s="1343"/>
      <c r="D73" s="1343">
        <f>SUM(D68+D64+D58+D55+D71+D72)</f>
        <v>1662282762</v>
      </c>
    </row>
    <row r="75" ht="16.5" thickBot="1"/>
    <row r="76" spans="1:3" ht="15.75">
      <c r="A76" s="1628" t="s">
        <v>1416</v>
      </c>
      <c r="B76" s="1630" t="s">
        <v>6</v>
      </c>
      <c r="C76" s="1632" t="s">
        <v>1417</v>
      </c>
    </row>
    <row r="77" spans="1:3" ht="15.75">
      <c r="A77" s="1629"/>
      <c r="B77" s="1631"/>
      <c r="C77" s="1633"/>
    </row>
    <row r="78" spans="1:3" ht="16.5" thickBot="1">
      <c r="A78" s="1412" t="s">
        <v>687</v>
      </c>
      <c r="B78" s="1413" t="s">
        <v>15</v>
      </c>
      <c r="C78" s="1414" t="s">
        <v>688</v>
      </c>
    </row>
    <row r="79" spans="1:3" ht="15.75">
      <c r="A79" s="1415" t="s">
        <v>1418</v>
      </c>
      <c r="B79" s="1416" t="s">
        <v>1269</v>
      </c>
      <c r="C79" s="1417">
        <f>+'12.sz.m.mérleg'!D185</f>
        <v>605374421</v>
      </c>
    </row>
    <row r="80" spans="1:3" ht="15.75">
      <c r="A80" s="1415" t="s">
        <v>1419</v>
      </c>
      <c r="B80" s="1418" t="s">
        <v>1271</v>
      </c>
      <c r="C80" s="1417">
        <f>+'12.sz.m.mérleg'!D186</f>
        <v>180261334</v>
      </c>
    </row>
    <row r="81" spans="1:3" ht="15.75">
      <c r="A81" s="1415" t="s">
        <v>1420</v>
      </c>
      <c r="B81" s="1418" t="s">
        <v>1273</v>
      </c>
      <c r="C81" s="1417">
        <f>+'12.sz.m.mérleg'!D190</f>
        <v>81973873</v>
      </c>
    </row>
    <row r="82" spans="1:3" ht="15.75">
      <c r="A82" s="1415" t="s">
        <v>1421</v>
      </c>
      <c r="B82" s="1418" t="s">
        <v>1275</v>
      </c>
      <c r="C82" s="1419">
        <f>+'12.sz.m.mérleg'!D191</f>
        <v>549908330</v>
      </c>
    </row>
    <row r="83" spans="1:3" ht="15.75">
      <c r="A83" s="1415" t="s">
        <v>1422</v>
      </c>
      <c r="B83" s="1418" t="s">
        <v>1277</v>
      </c>
      <c r="C83" s="1419">
        <f>'[2]12.sz.m.mérleg'!C192</f>
        <v>0</v>
      </c>
    </row>
    <row r="84" spans="1:3" ht="15.75">
      <c r="A84" s="1415" t="s">
        <v>1423</v>
      </c>
      <c r="B84" s="1418" t="s">
        <v>1279</v>
      </c>
      <c r="C84" s="1419">
        <f>+'12.sz.m.mérleg'!D193</f>
        <v>226014653</v>
      </c>
    </row>
    <row r="85" spans="1:3" ht="15.75">
      <c r="A85" s="1415" t="s">
        <v>1424</v>
      </c>
      <c r="B85" s="1420" t="s">
        <v>1281</v>
      </c>
      <c r="C85" s="1421">
        <f>SUM(C79:C84)</f>
        <v>1643532611</v>
      </c>
    </row>
    <row r="86" spans="1:3" ht="15.75">
      <c r="A86" s="1415" t="s">
        <v>1425</v>
      </c>
      <c r="B86" s="1418" t="s">
        <v>1283</v>
      </c>
      <c r="C86" s="1422">
        <f>+'12.sz.m.mérleg'!D220</f>
        <v>0</v>
      </c>
    </row>
    <row r="87" spans="1:3" ht="15.75">
      <c r="A87" s="1415" t="s">
        <v>1426</v>
      </c>
      <c r="B87" s="1418" t="s">
        <v>1285</v>
      </c>
      <c r="C87" s="1419">
        <f>+'12.sz.m.mérleg'!D244</f>
        <v>15055921</v>
      </c>
    </row>
    <row r="88" spans="1:3" ht="15.75">
      <c r="A88" s="1415" t="s">
        <v>1427</v>
      </c>
      <c r="B88" s="1418" t="s">
        <v>405</v>
      </c>
      <c r="C88" s="1419">
        <f>+'12.sz.m.mérleg'!D255</f>
        <v>175422</v>
      </c>
    </row>
    <row r="89" spans="1:3" ht="15.75">
      <c r="A89" s="1415" t="s">
        <v>1428</v>
      </c>
      <c r="B89" s="1420" t="s">
        <v>407</v>
      </c>
      <c r="C89" s="1421">
        <f>C86+C87+C88</f>
        <v>15231343</v>
      </c>
    </row>
    <row r="90" spans="1:3" ht="15.75">
      <c r="A90" s="1415" t="s">
        <v>1245</v>
      </c>
      <c r="B90" s="1420" t="s">
        <v>408</v>
      </c>
      <c r="C90" s="1419"/>
    </row>
    <row r="91" spans="1:3" ht="15.75">
      <c r="A91" s="1415" t="s">
        <v>1429</v>
      </c>
      <c r="B91" s="1420" t="s">
        <v>409</v>
      </c>
      <c r="C91" s="1423">
        <f>+'12.sz.m.mérleg'!D261</f>
        <v>3518808</v>
      </c>
    </row>
    <row r="92" spans="1:3" ht="16.5" thickBot="1">
      <c r="A92" s="1424" t="s">
        <v>1430</v>
      </c>
      <c r="B92" s="1425" t="s">
        <v>410</v>
      </c>
      <c r="C92" s="1426">
        <f>C85+C89+C90+C91</f>
        <v>1662282762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&amp;R13.a.számú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73">
      <selection activeCell="C2" sqref="C2:D2"/>
    </sheetView>
  </sheetViews>
  <sheetFormatPr defaultColWidth="60.421875" defaultRowHeight="12.75"/>
  <cols>
    <col min="1" max="1" width="60.421875" style="1366" customWidth="1"/>
    <col min="2" max="2" width="5.57421875" style="1225" customWidth="1"/>
    <col min="3" max="3" width="12.421875" style="1366" customWidth="1"/>
    <col min="4" max="4" width="14.8515625" style="1366" customWidth="1"/>
    <col min="5" max="255" width="10.7109375" style="1220" customWidth="1"/>
    <col min="256" max="16384" width="60.421875" style="1220" customWidth="1"/>
  </cols>
  <sheetData>
    <row r="1" spans="1:256" ht="49.5" customHeight="1">
      <c r="A1" s="1640" t="s">
        <v>1261</v>
      </c>
      <c r="B1" s="1640"/>
      <c r="C1" s="1640"/>
      <c r="D1" s="1640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1"/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1"/>
      <c r="BA1" s="1321"/>
      <c r="BB1" s="1321"/>
      <c r="BC1" s="1321"/>
      <c r="BD1" s="1321"/>
      <c r="BE1" s="1321"/>
      <c r="BF1" s="1321"/>
      <c r="BG1" s="1321"/>
      <c r="BH1" s="1321"/>
      <c r="BI1" s="1321"/>
      <c r="BJ1" s="1321"/>
      <c r="BK1" s="1321"/>
      <c r="BL1" s="1321"/>
      <c r="BM1" s="1321"/>
      <c r="BN1" s="1321"/>
      <c r="BO1" s="1321"/>
      <c r="BP1" s="1321"/>
      <c r="BQ1" s="1321"/>
      <c r="BR1" s="1321"/>
      <c r="BS1" s="1321"/>
      <c r="BT1" s="1321"/>
      <c r="BU1" s="1321"/>
      <c r="BV1" s="1321"/>
      <c r="BW1" s="1321"/>
      <c r="BX1" s="1321"/>
      <c r="BY1" s="1321"/>
      <c r="BZ1" s="1321"/>
      <c r="CA1" s="1321"/>
      <c r="CB1" s="1321"/>
      <c r="CC1" s="1321"/>
      <c r="CD1" s="1321"/>
      <c r="CE1" s="1321"/>
      <c r="CF1" s="1321"/>
      <c r="CG1" s="1321"/>
      <c r="CH1" s="1321"/>
      <c r="CI1" s="1321"/>
      <c r="CJ1" s="1321"/>
      <c r="CK1" s="1321"/>
      <c r="CL1" s="1321"/>
      <c r="CM1" s="1321"/>
      <c r="CN1" s="1321"/>
      <c r="CO1" s="1321"/>
      <c r="CP1" s="1321"/>
      <c r="CQ1" s="1321"/>
      <c r="CR1" s="1321"/>
      <c r="CS1" s="1321"/>
      <c r="CT1" s="1321"/>
      <c r="CU1" s="1321"/>
      <c r="CV1" s="1321"/>
      <c r="CW1" s="1321"/>
      <c r="CX1" s="1321"/>
      <c r="CY1" s="1321"/>
      <c r="CZ1" s="1321"/>
      <c r="DA1" s="1321"/>
      <c r="DB1" s="1321"/>
      <c r="DC1" s="1321"/>
      <c r="DD1" s="1321"/>
      <c r="DE1" s="1321"/>
      <c r="DF1" s="1321"/>
      <c r="DG1" s="1321"/>
      <c r="DH1" s="1321"/>
      <c r="DI1" s="1321"/>
      <c r="DJ1" s="1321"/>
      <c r="DK1" s="1321"/>
      <c r="DL1" s="1321"/>
      <c r="DM1" s="1321"/>
      <c r="DN1" s="1321"/>
      <c r="DO1" s="1321"/>
      <c r="DP1" s="1321"/>
      <c r="DQ1" s="1321"/>
      <c r="DR1" s="1321"/>
      <c r="DS1" s="1321"/>
      <c r="DT1" s="1321"/>
      <c r="DU1" s="1321"/>
      <c r="DV1" s="1321"/>
      <c r="DW1" s="1321"/>
      <c r="DX1" s="1321"/>
      <c r="DY1" s="1321"/>
      <c r="DZ1" s="1321"/>
      <c r="EA1" s="1321"/>
      <c r="EB1" s="1321"/>
      <c r="EC1" s="1321"/>
      <c r="ED1" s="1321"/>
      <c r="EE1" s="1321"/>
      <c r="EF1" s="1321"/>
      <c r="EG1" s="1321"/>
      <c r="EH1" s="1321"/>
      <c r="EI1" s="1321"/>
      <c r="EJ1" s="1321"/>
      <c r="EK1" s="1321"/>
      <c r="EL1" s="1321"/>
      <c r="EM1" s="1321"/>
      <c r="EN1" s="1321"/>
      <c r="EO1" s="1321"/>
      <c r="EP1" s="1321"/>
      <c r="EQ1" s="1321"/>
      <c r="ER1" s="1321"/>
      <c r="ES1" s="1321"/>
      <c r="ET1" s="1321"/>
      <c r="EU1" s="1321"/>
      <c r="EV1" s="1321"/>
      <c r="EW1" s="1321"/>
      <c r="EX1" s="1321"/>
      <c r="EY1" s="1321"/>
      <c r="EZ1" s="1321"/>
      <c r="FA1" s="1321"/>
      <c r="FB1" s="1321"/>
      <c r="FC1" s="1321"/>
      <c r="FD1" s="1321"/>
      <c r="FE1" s="1321"/>
      <c r="FF1" s="1321"/>
      <c r="FG1" s="1321"/>
      <c r="FH1" s="1321"/>
      <c r="FI1" s="1321"/>
      <c r="FJ1" s="1321"/>
      <c r="FK1" s="1321"/>
      <c r="FL1" s="1321"/>
      <c r="FM1" s="1321"/>
      <c r="FN1" s="1321"/>
      <c r="FO1" s="1321"/>
      <c r="FP1" s="1321"/>
      <c r="FQ1" s="1321"/>
      <c r="FR1" s="1321"/>
      <c r="FS1" s="1321"/>
      <c r="FT1" s="1321"/>
      <c r="FU1" s="1321"/>
      <c r="FV1" s="1321"/>
      <c r="FW1" s="1321"/>
      <c r="FX1" s="1321"/>
      <c r="FY1" s="1321"/>
      <c r="FZ1" s="1321"/>
      <c r="GA1" s="1321"/>
      <c r="GB1" s="1321"/>
      <c r="GC1" s="1321"/>
      <c r="GD1" s="1321"/>
      <c r="GE1" s="1321"/>
      <c r="GF1" s="1321"/>
      <c r="GG1" s="1321"/>
      <c r="GH1" s="1321"/>
      <c r="GI1" s="1321"/>
      <c r="GJ1" s="1321"/>
      <c r="GK1" s="1321"/>
      <c r="GL1" s="1321"/>
      <c r="GM1" s="1321"/>
      <c r="GN1" s="1321"/>
      <c r="GO1" s="1321"/>
      <c r="GP1" s="1321"/>
      <c r="GQ1" s="1321"/>
      <c r="GR1" s="1321"/>
      <c r="GS1" s="1321"/>
      <c r="GT1" s="1321"/>
      <c r="GU1" s="1321"/>
      <c r="GV1" s="1321"/>
      <c r="GW1" s="1321"/>
      <c r="GX1" s="1321"/>
      <c r="GY1" s="1321"/>
      <c r="GZ1" s="1321"/>
      <c r="HA1" s="1321"/>
      <c r="HB1" s="1321"/>
      <c r="HC1" s="1321"/>
      <c r="HD1" s="1321"/>
      <c r="HE1" s="1321"/>
      <c r="HF1" s="1321"/>
      <c r="HG1" s="1321"/>
      <c r="HH1" s="1321"/>
      <c r="HI1" s="1321"/>
      <c r="HJ1" s="1321"/>
      <c r="HK1" s="1321"/>
      <c r="HL1" s="1321"/>
      <c r="HM1" s="1321"/>
      <c r="HN1" s="1321"/>
      <c r="HO1" s="1321"/>
      <c r="HP1" s="1321"/>
      <c r="HQ1" s="1321"/>
      <c r="HR1" s="1321"/>
      <c r="HS1" s="1321"/>
      <c r="HT1" s="1321"/>
      <c r="HU1" s="1321"/>
      <c r="HV1" s="1321"/>
      <c r="HW1" s="1321"/>
      <c r="HX1" s="1321"/>
      <c r="HY1" s="1321"/>
      <c r="HZ1" s="1321"/>
      <c r="IA1" s="1321"/>
      <c r="IB1" s="1321"/>
      <c r="IC1" s="1321"/>
      <c r="ID1" s="1321"/>
      <c r="IE1" s="1321"/>
      <c r="IF1" s="1321"/>
      <c r="IG1" s="1321"/>
      <c r="IH1" s="1321"/>
      <c r="II1" s="1321"/>
      <c r="IJ1" s="1321"/>
      <c r="IK1" s="1321"/>
      <c r="IL1" s="1321"/>
      <c r="IM1" s="1321"/>
      <c r="IN1" s="1321"/>
      <c r="IO1" s="1321"/>
      <c r="IP1" s="1321"/>
      <c r="IQ1" s="1321"/>
      <c r="IR1" s="1321"/>
      <c r="IS1" s="1321"/>
      <c r="IT1" s="1321"/>
      <c r="IU1" s="1321"/>
      <c r="IV1" s="1321"/>
    </row>
    <row r="2" spans="1:256" ht="16.5" thickBot="1">
      <c r="A2" s="1346" t="s">
        <v>1391</v>
      </c>
      <c r="B2" s="1347"/>
      <c r="C2" s="1641" t="s">
        <v>1262</v>
      </c>
      <c r="D2" s="164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1"/>
      <c r="V2" s="1321"/>
      <c r="W2" s="1321"/>
      <c r="X2" s="1321"/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1"/>
      <c r="AM2" s="1321"/>
      <c r="AN2" s="1321"/>
      <c r="AO2" s="1321"/>
      <c r="AP2" s="1321"/>
      <c r="AQ2" s="1321"/>
      <c r="AR2" s="1321"/>
      <c r="AS2" s="1321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  <c r="BF2" s="1321"/>
      <c r="BG2" s="1321"/>
      <c r="BH2" s="1321"/>
      <c r="BI2" s="1321"/>
      <c r="BJ2" s="1321"/>
      <c r="BK2" s="1321"/>
      <c r="BL2" s="1321"/>
      <c r="BM2" s="1321"/>
      <c r="BN2" s="1321"/>
      <c r="BO2" s="1321"/>
      <c r="BP2" s="1321"/>
      <c r="BQ2" s="1321"/>
      <c r="BR2" s="1321"/>
      <c r="BS2" s="1321"/>
      <c r="BT2" s="1321"/>
      <c r="BU2" s="1321"/>
      <c r="BV2" s="1321"/>
      <c r="BW2" s="1321"/>
      <c r="BX2" s="1321"/>
      <c r="BY2" s="1321"/>
      <c r="BZ2" s="1321"/>
      <c r="CA2" s="1321"/>
      <c r="CB2" s="1321"/>
      <c r="CC2" s="1321"/>
      <c r="CD2" s="1321"/>
      <c r="CE2" s="1321"/>
      <c r="CF2" s="1321"/>
      <c r="CG2" s="1321"/>
      <c r="CH2" s="1321"/>
      <c r="CI2" s="1321"/>
      <c r="CJ2" s="1321"/>
      <c r="CK2" s="1321"/>
      <c r="CL2" s="1321"/>
      <c r="CM2" s="1321"/>
      <c r="CN2" s="1321"/>
      <c r="CO2" s="1321"/>
      <c r="CP2" s="1321"/>
      <c r="CQ2" s="1321"/>
      <c r="CR2" s="1321"/>
      <c r="CS2" s="1321"/>
      <c r="CT2" s="1321"/>
      <c r="CU2" s="1321"/>
      <c r="CV2" s="1321"/>
      <c r="CW2" s="1321"/>
      <c r="CX2" s="1321"/>
      <c r="CY2" s="1321"/>
      <c r="CZ2" s="1321"/>
      <c r="DA2" s="1321"/>
      <c r="DB2" s="1321"/>
      <c r="DC2" s="1321"/>
      <c r="DD2" s="1321"/>
      <c r="DE2" s="1321"/>
      <c r="DF2" s="1321"/>
      <c r="DG2" s="1321"/>
      <c r="DH2" s="1321"/>
      <c r="DI2" s="1321"/>
      <c r="DJ2" s="1321"/>
      <c r="DK2" s="1321"/>
      <c r="DL2" s="1321"/>
      <c r="DM2" s="1321"/>
      <c r="DN2" s="1321"/>
      <c r="DO2" s="1321"/>
      <c r="DP2" s="1321"/>
      <c r="DQ2" s="1321"/>
      <c r="DR2" s="1321"/>
      <c r="DS2" s="1321"/>
      <c r="DT2" s="1321"/>
      <c r="DU2" s="1321"/>
      <c r="DV2" s="1321"/>
      <c r="DW2" s="1321"/>
      <c r="DX2" s="1321"/>
      <c r="DY2" s="1321"/>
      <c r="DZ2" s="1321"/>
      <c r="EA2" s="1321"/>
      <c r="EB2" s="1321"/>
      <c r="EC2" s="1321"/>
      <c r="ED2" s="1321"/>
      <c r="EE2" s="1321"/>
      <c r="EF2" s="1321"/>
      <c r="EG2" s="1321"/>
      <c r="EH2" s="1321"/>
      <c r="EI2" s="1321"/>
      <c r="EJ2" s="1321"/>
      <c r="EK2" s="1321"/>
      <c r="EL2" s="1321"/>
      <c r="EM2" s="1321"/>
      <c r="EN2" s="1321"/>
      <c r="EO2" s="1321"/>
      <c r="EP2" s="1321"/>
      <c r="EQ2" s="1321"/>
      <c r="ER2" s="1321"/>
      <c r="ES2" s="1321"/>
      <c r="ET2" s="1321"/>
      <c r="EU2" s="1321"/>
      <c r="EV2" s="1321"/>
      <c r="EW2" s="1321"/>
      <c r="EX2" s="1321"/>
      <c r="EY2" s="1321"/>
      <c r="EZ2" s="1321"/>
      <c r="FA2" s="1321"/>
      <c r="FB2" s="1321"/>
      <c r="FC2" s="1321"/>
      <c r="FD2" s="1321"/>
      <c r="FE2" s="1321"/>
      <c r="FF2" s="1321"/>
      <c r="FG2" s="1321"/>
      <c r="FH2" s="1321"/>
      <c r="FI2" s="1321"/>
      <c r="FJ2" s="1321"/>
      <c r="FK2" s="1321"/>
      <c r="FL2" s="1321"/>
      <c r="FM2" s="1321"/>
      <c r="FN2" s="1321"/>
      <c r="FO2" s="1321"/>
      <c r="FP2" s="1321"/>
      <c r="FQ2" s="1321"/>
      <c r="FR2" s="1321"/>
      <c r="FS2" s="1321"/>
      <c r="FT2" s="1321"/>
      <c r="FU2" s="1321"/>
      <c r="FV2" s="1321"/>
      <c r="FW2" s="1321"/>
      <c r="FX2" s="1321"/>
      <c r="FY2" s="1321"/>
      <c r="FZ2" s="1321"/>
      <c r="GA2" s="1321"/>
      <c r="GB2" s="1321"/>
      <c r="GC2" s="1321"/>
      <c r="GD2" s="1321"/>
      <c r="GE2" s="1321"/>
      <c r="GF2" s="1321"/>
      <c r="GG2" s="1321"/>
      <c r="GH2" s="1321"/>
      <c r="GI2" s="1321"/>
      <c r="GJ2" s="1321"/>
      <c r="GK2" s="1321"/>
      <c r="GL2" s="1321"/>
      <c r="GM2" s="1321"/>
      <c r="GN2" s="1321"/>
      <c r="GO2" s="1321"/>
      <c r="GP2" s="1321"/>
      <c r="GQ2" s="1321"/>
      <c r="GR2" s="1321"/>
      <c r="GS2" s="1321"/>
      <c r="GT2" s="1321"/>
      <c r="GU2" s="1321"/>
      <c r="GV2" s="1321"/>
      <c r="GW2" s="1321"/>
      <c r="GX2" s="1321"/>
      <c r="GY2" s="1321"/>
      <c r="GZ2" s="1321"/>
      <c r="HA2" s="1321"/>
      <c r="HB2" s="1321"/>
      <c r="HC2" s="1321"/>
      <c r="HD2" s="1321"/>
      <c r="HE2" s="1321"/>
      <c r="HF2" s="1321"/>
      <c r="HG2" s="1321"/>
      <c r="HH2" s="1321"/>
      <c r="HI2" s="1321"/>
      <c r="HJ2" s="1321"/>
      <c r="HK2" s="1321"/>
      <c r="HL2" s="1321"/>
      <c r="HM2" s="1321"/>
      <c r="HN2" s="1321"/>
      <c r="HO2" s="1321"/>
      <c r="HP2" s="1321"/>
      <c r="HQ2" s="1321"/>
      <c r="HR2" s="1321"/>
      <c r="HS2" s="1321"/>
      <c r="HT2" s="1321"/>
      <c r="HU2" s="1321"/>
      <c r="HV2" s="1321"/>
      <c r="HW2" s="1321"/>
      <c r="HX2" s="1321"/>
      <c r="HY2" s="1321"/>
      <c r="HZ2" s="1321"/>
      <c r="IA2" s="1321"/>
      <c r="IB2" s="1321"/>
      <c r="IC2" s="1321"/>
      <c r="ID2" s="1321"/>
      <c r="IE2" s="1321"/>
      <c r="IF2" s="1321"/>
      <c r="IG2" s="1321"/>
      <c r="IH2" s="1321"/>
      <c r="II2" s="1321"/>
      <c r="IJ2" s="1321"/>
      <c r="IK2" s="1321"/>
      <c r="IL2" s="1321"/>
      <c r="IM2" s="1321"/>
      <c r="IN2" s="1321"/>
      <c r="IO2" s="1321"/>
      <c r="IP2" s="1321"/>
      <c r="IQ2" s="1321"/>
      <c r="IR2" s="1321"/>
      <c r="IS2" s="1321"/>
      <c r="IT2" s="1321"/>
      <c r="IU2" s="1321"/>
      <c r="IV2" s="1321"/>
    </row>
    <row r="3" spans="1:256" ht="15.75" customHeight="1" thickBot="1">
      <c r="A3" s="1642" t="s">
        <v>1263</v>
      </c>
      <c r="B3" s="1643" t="s">
        <v>6</v>
      </c>
      <c r="C3" s="1644" t="s">
        <v>1264</v>
      </c>
      <c r="D3" s="1644" t="s">
        <v>1265</v>
      </c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321"/>
      <c r="AN3" s="1321"/>
      <c r="AO3" s="1321"/>
      <c r="AP3" s="1321"/>
      <c r="AQ3" s="1321"/>
      <c r="AR3" s="1321"/>
      <c r="AS3" s="1321"/>
      <c r="AT3" s="1321"/>
      <c r="AU3" s="1321"/>
      <c r="AV3" s="1321"/>
      <c r="AW3" s="1321"/>
      <c r="AX3" s="1321"/>
      <c r="AY3" s="1321"/>
      <c r="AZ3" s="1321"/>
      <c r="BA3" s="1321"/>
      <c r="BB3" s="1321"/>
      <c r="BC3" s="1321"/>
      <c r="BD3" s="1321"/>
      <c r="BE3" s="1321"/>
      <c r="BF3" s="1321"/>
      <c r="BG3" s="1321"/>
      <c r="BH3" s="1321"/>
      <c r="BI3" s="1321"/>
      <c r="BJ3" s="1321"/>
      <c r="BK3" s="1321"/>
      <c r="BL3" s="1321"/>
      <c r="BM3" s="1321"/>
      <c r="BN3" s="1321"/>
      <c r="BO3" s="1321"/>
      <c r="BP3" s="1321"/>
      <c r="BQ3" s="1321"/>
      <c r="BR3" s="1321"/>
      <c r="BS3" s="1321"/>
      <c r="BT3" s="1321"/>
      <c r="BU3" s="1321"/>
      <c r="BV3" s="1321"/>
      <c r="BW3" s="1321"/>
      <c r="BX3" s="1321"/>
      <c r="BY3" s="1321"/>
      <c r="BZ3" s="1321"/>
      <c r="CA3" s="1321"/>
      <c r="CB3" s="1321"/>
      <c r="CC3" s="1321"/>
      <c r="CD3" s="1321"/>
      <c r="CE3" s="1321"/>
      <c r="CF3" s="1321"/>
      <c r="CG3" s="1321"/>
      <c r="CH3" s="1321"/>
      <c r="CI3" s="1321"/>
      <c r="CJ3" s="1321"/>
      <c r="CK3" s="1321"/>
      <c r="CL3" s="1321"/>
      <c r="CM3" s="1321"/>
      <c r="CN3" s="1321"/>
      <c r="CO3" s="1321"/>
      <c r="CP3" s="1321"/>
      <c r="CQ3" s="1321"/>
      <c r="CR3" s="1321"/>
      <c r="CS3" s="1321"/>
      <c r="CT3" s="1321"/>
      <c r="CU3" s="1321"/>
      <c r="CV3" s="1321"/>
      <c r="CW3" s="1321"/>
      <c r="CX3" s="1321"/>
      <c r="CY3" s="1321"/>
      <c r="CZ3" s="1321"/>
      <c r="DA3" s="1321"/>
      <c r="DB3" s="1321"/>
      <c r="DC3" s="1321"/>
      <c r="DD3" s="1321"/>
      <c r="DE3" s="1321"/>
      <c r="DF3" s="1321"/>
      <c r="DG3" s="1321"/>
      <c r="DH3" s="1321"/>
      <c r="DI3" s="1321"/>
      <c r="DJ3" s="1321"/>
      <c r="DK3" s="1321"/>
      <c r="DL3" s="1321"/>
      <c r="DM3" s="1321"/>
      <c r="DN3" s="1321"/>
      <c r="DO3" s="1321"/>
      <c r="DP3" s="1321"/>
      <c r="DQ3" s="1321"/>
      <c r="DR3" s="1321"/>
      <c r="DS3" s="1321"/>
      <c r="DT3" s="1321"/>
      <c r="DU3" s="1321"/>
      <c r="DV3" s="1321"/>
      <c r="DW3" s="1321"/>
      <c r="DX3" s="1321"/>
      <c r="DY3" s="1321"/>
      <c r="DZ3" s="1321"/>
      <c r="EA3" s="1321"/>
      <c r="EB3" s="1321"/>
      <c r="EC3" s="1321"/>
      <c r="ED3" s="1321"/>
      <c r="EE3" s="1321"/>
      <c r="EF3" s="1321"/>
      <c r="EG3" s="1321"/>
      <c r="EH3" s="1321"/>
      <c r="EI3" s="1321"/>
      <c r="EJ3" s="1321"/>
      <c r="EK3" s="1321"/>
      <c r="EL3" s="1321"/>
      <c r="EM3" s="1321"/>
      <c r="EN3" s="1321"/>
      <c r="EO3" s="1321"/>
      <c r="EP3" s="1321"/>
      <c r="EQ3" s="1321"/>
      <c r="ER3" s="1321"/>
      <c r="ES3" s="1321"/>
      <c r="ET3" s="1321"/>
      <c r="EU3" s="1321"/>
      <c r="EV3" s="1321"/>
      <c r="EW3" s="1321"/>
      <c r="EX3" s="1321"/>
      <c r="EY3" s="1321"/>
      <c r="EZ3" s="1321"/>
      <c r="FA3" s="1321"/>
      <c r="FB3" s="1321"/>
      <c r="FC3" s="1321"/>
      <c r="FD3" s="1321"/>
      <c r="FE3" s="1321"/>
      <c r="FF3" s="1321"/>
      <c r="FG3" s="1321"/>
      <c r="FH3" s="1321"/>
      <c r="FI3" s="1321"/>
      <c r="FJ3" s="1321"/>
      <c r="FK3" s="1321"/>
      <c r="FL3" s="1321"/>
      <c r="FM3" s="1321"/>
      <c r="FN3" s="1321"/>
      <c r="FO3" s="1321"/>
      <c r="FP3" s="1321"/>
      <c r="FQ3" s="1321"/>
      <c r="FR3" s="1321"/>
      <c r="FS3" s="1321"/>
      <c r="FT3" s="1321"/>
      <c r="FU3" s="1321"/>
      <c r="FV3" s="1321"/>
      <c r="FW3" s="1321"/>
      <c r="FX3" s="1321"/>
      <c r="FY3" s="1321"/>
      <c r="FZ3" s="1321"/>
      <c r="GA3" s="1321"/>
      <c r="GB3" s="1321"/>
      <c r="GC3" s="1321"/>
      <c r="GD3" s="1321"/>
      <c r="GE3" s="1321"/>
      <c r="GF3" s="1321"/>
      <c r="GG3" s="1321"/>
      <c r="GH3" s="1321"/>
      <c r="GI3" s="1321"/>
      <c r="GJ3" s="1321"/>
      <c r="GK3" s="1321"/>
      <c r="GL3" s="1321"/>
      <c r="GM3" s="1321"/>
      <c r="GN3" s="1321"/>
      <c r="GO3" s="1321"/>
      <c r="GP3" s="1321"/>
      <c r="GQ3" s="1321"/>
      <c r="GR3" s="1321"/>
      <c r="GS3" s="1321"/>
      <c r="GT3" s="1321"/>
      <c r="GU3" s="1321"/>
      <c r="GV3" s="1321"/>
      <c r="GW3" s="1321"/>
      <c r="GX3" s="1321"/>
      <c r="GY3" s="1321"/>
      <c r="GZ3" s="1321"/>
      <c r="HA3" s="1321"/>
      <c r="HB3" s="1321"/>
      <c r="HC3" s="1321"/>
      <c r="HD3" s="1321"/>
      <c r="HE3" s="1321"/>
      <c r="HF3" s="1321"/>
      <c r="HG3" s="1321"/>
      <c r="HH3" s="1321"/>
      <c r="HI3" s="1321"/>
      <c r="HJ3" s="1321"/>
      <c r="HK3" s="1321"/>
      <c r="HL3" s="1321"/>
      <c r="HM3" s="1321"/>
      <c r="HN3" s="1321"/>
      <c r="HO3" s="1321"/>
      <c r="HP3" s="1321"/>
      <c r="HQ3" s="1321"/>
      <c r="HR3" s="1321"/>
      <c r="HS3" s="1321"/>
      <c r="HT3" s="1321"/>
      <c r="HU3" s="1321"/>
      <c r="HV3" s="1321"/>
      <c r="HW3" s="1321"/>
      <c r="HX3" s="1321"/>
      <c r="HY3" s="1321"/>
      <c r="HZ3" s="1321"/>
      <c r="IA3" s="1321"/>
      <c r="IB3" s="1321"/>
      <c r="IC3" s="1321"/>
      <c r="ID3" s="1321"/>
      <c r="IE3" s="1321"/>
      <c r="IF3" s="1321"/>
      <c r="IG3" s="1321"/>
      <c r="IH3" s="1321"/>
      <c r="II3" s="1321"/>
      <c r="IJ3" s="1321"/>
      <c r="IK3" s="1321"/>
      <c r="IL3" s="1321"/>
      <c r="IM3" s="1321"/>
      <c r="IN3" s="1321"/>
      <c r="IO3" s="1321"/>
      <c r="IP3" s="1321"/>
      <c r="IQ3" s="1321"/>
      <c r="IR3" s="1321"/>
      <c r="IS3" s="1321"/>
      <c r="IT3" s="1321"/>
      <c r="IU3" s="1321"/>
      <c r="IV3" s="1321"/>
    </row>
    <row r="4" spans="1:256" ht="11.25" customHeight="1" thickBot="1">
      <c r="A4" s="1642"/>
      <c r="B4" s="1643"/>
      <c r="C4" s="1644"/>
      <c r="D4" s="1644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1"/>
      <c r="AG4" s="1321"/>
      <c r="AH4" s="1321"/>
      <c r="AI4" s="1321"/>
      <c r="AJ4" s="1321"/>
      <c r="AK4" s="1321"/>
      <c r="AL4" s="1321"/>
      <c r="AM4" s="1321"/>
      <c r="AN4" s="1321"/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1321"/>
      <c r="BB4" s="1321"/>
      <c r="BC4" s="1321"/>
      <c r="BD4" s="1321"/>
      <c r="BE4" s="1321"/>
      <c r="BF4" s="1321"/>
      <c r="BG4" s="1321"/>
      <c r="BH4" s="1321"/>
      <c r="BI4" s="1321"/>
      <c r="BJ4" s="1321"/>
      <c r="BK4" s="1321"/>
      <c r="BL4" s="1321"/>
      <c r="BM4" s="1321"/>
      <c r="BN4" s="1321"/>
      <c r="BO4" s="1321"/>
      <c r="BP4" s="1321"/>
      <c r="BQ4" s="1321"/>
      <c r="BR4" s="1321"/>
      <c r="BS4" s="1321"/>
      <c r="BT4" s="1321"/>
      <c r="BU4" s="1321"/>
      <c r="BV4" s="1321"/>
      <c r="BW4" s="1321"/>
      <c r="BX4" s="1321"/>
      <c r="BY4" s="1321"/>
      <c r="BZ4" s="1321"/>
      <c r="CA4" s="1321"/>
      <c r="CB4" s="1321"/>
      <c r="CC4" s="1321"/>
      <c r="CD4" s="1321"/>
      <c r="CE4" s="1321"/>
      <c r="CF4" s="1321"/>
      <c r="CG4" s="1321"/>
      <c r="CH4" s="1321"/>
      <c r="CI4" s="1321"/>
      <c r="CJ4" s="1321"/>
      <c r="CK4" s="1321"/>
      <c r="CL4" s="1321"/>
      <c r="CM4" s="1321"/>
      <c r="CN4" s="1321"/>
      <c r="CO4" s="1321"/>
      <c r="CP4" s="1321"/>
      <c r="CQ4" s="1321"/>
      <c r="CR4" s="1321"/>
      <c r="CS4" s="1321"/>
      <c r="CT4" s="1321"/>
      <c r="CU4" s="1321"/>
      <c r="CV4" s="1321"/>
      <c r="CW4" s="1321"/>
      <c r="CX4" s="1321"/>
      <c r="CY4" s="1321"/>
      <c r="CZ4" s="1321"/>
      <c r="DA4" s="1321"/>
      <c r="DB4" s="1321"/>
      <c r="DC4" s="1321"/>
      <c r="DD4" s="1321"/>
      <c r="DE4" s="1321"/>
      <c r="DF4" s="1321"/>
      <c r="DG4" s="1321"/>
      <c r="DH4" s="1321"/>
      <c r="DI4" s="1321"/>
      <c r="DJ4" s="1321"/>
      <c r="DK4" s="1321"/>
      <c r="DL4" s="1321"/>
      <c r="DM4" s="1321"/>
      <c r="DN4" s="1321"/>
      <c r="DO4" s="1321"/>
      <c r="DP4" s="1321"/>
      <c r="DQ4" s="1321"/>
      <c r="DR4" s="1321"/>
      <c r="DS4" s="1321"/>
      <c r="DT4" s="1321"/>
      <c r="DU4" s="1321"/>
      <c r="DV4" s="1321"/>
      <c r="DW4" s="1321"/>
      <c r="DX4" s="1321"/>
      <c r="DY4" s="1321"/>
      <c r="DZ4" s="1321"/>
      <c r="EA4" s="1321"/>
      <c r="EB4" s="1321"/>
      <c r="EC4" s="1321"/>
      <c r="ED4" s="1321"/>
      <c r="EE4" s="1321"/>
      <c r="EF4" s="1321"/>
      <c r="EG4" s="1321"/>
      <c r="EH4" s="1321"/>
      <c r="EI4" s="1321"/>
      <c r="EJ4" s="1321"/>
      <c r="EK4" s="1321"/>
      <c r="EL4" s="1321"/>
      <c r="EM4" s="1321"/>
      <c r="EN4" s="1321"/>
      <c r="EO4" s="1321"/>
      <c r="EP4" s="1321"/>
      <c r="EQ4" s="1321"/>
      <c r="ER4" s="1321"/>
      <c r="ES4" s="1321"/>
      <c r="ET4" s="1321"/>
      <c r="EU4" s="1321"/>
      <c r="EV4" s="1321"/>
      <c r="EW4" s="1321"/>
      <c r="EX4" s="1321"/>
      <c r="EY4" s="1321"/>
      <c r="EZ4" s="1321"/>
      <c r="FA4" s="1321"/>
      <c r="FB4" s="1321"/>
      <c r="FC4" s="1321"/>
      <c r="FD4" s="1321"/>
      <c r="FE4" s="1321"/>
      <c r="FF4" s="1321"/>
      <c r="FG4" s="1321"/>
      <c r="FH4" s="1321"/>
      <c r="FI4" s="1321"/>
      <c r="FJ4" s="1321"/>
      <c r="FK4" s="1321"/>
      <c r="FL4" s="1321"/>
      <c r="FM4" s="1321"/>
      <c r="FN4" s="1321"/>
      <c r="FO4" s="1321"/>
      <c r="FP4" s="1321"/>
      <c r="FQ4" s="1321"/>
      <c r="FR4" s="1321"/>
      <c r="FS4" s="1321"/>
      <c r="FT4" s="1321"/>
      <c r="FU4" s="1321"/>
      <c r="FV4" s="1321"/>
      <c r="FW4" s="1321"/>
      <c r="FX4" s="1321"/>
      <c r="FY4" s="1321"/>
      <c r="FZ4" s="1321"/>
      <c r="GA4" s="1321"/>
      <c r="GB4" s="1321"/>
      <c r="GC4" s="1321"/>
      <c r="GD4" s="1321"/>
      <c r="GE4" s="1321"/>
      <c r="GF4" s="1321"/>
      <c r="GG4" s="1321"/>
      <c r="GH4" s="1321"/>
      <c r="GI4" s="1321"/>
      <c r="GJ4" s="1321"/>
      <c r="GK4" s="1321"/>
      <c r="GL4" s="1321"/>
      <c r="GM4" s="1321"/>
      <c r="GN4" s="1321"/>
      <c r="GO4" s="1321"/>
      <c r="GP4" s="1321"/>
      <c r="GQ4" s="1321"/>
      <c r="GR4" s="1321"/>
      <c r="GS4" s="1321"/>
      <c r="GT4" s="1321"/>
      <c r="GU4" s="1321"/>
      <c r="GV4" s="1321"/>
      <c r="GW4" s="1321"/>
      <c r="GX4" s="1321"/>
      <c r="GY4" s="1321"/>
      <c r="GZ4" s="1321"/>
      <c r="HA4" s="1321"/>
      <c r="HB4" s="1321"/>
      <c r="HC4" s="1321"/>
      <c r="HD4" s="1321"/>
      <c r="HE4" s="1321"/>
      <c r="HF4" s="1321"/>
      <c r="HG4" s="1321"/>
      <c r="HH4" s="1321"/>
      <c r="HI4" s="1321"/>
      <c r="HJ4" s="1321"/>
      <c r="HK4" s="1321"/>
      <c r="HL4" s="1321"/>
      <c r="HM4" s="1321"/>
      <c r="HN4" s="1321"/>
      <c r="HO4" s="1321"/>
      <c r="HP4" s="1321"/>
      <c r="HQ4" s="1321"/>
      <c r="HR4" s="1321"/>
      <c r="HS4" s="1321"/>
      <c r="HT4" s="1321"/>
      <c r="HU4" s="1321"/>
      <c r="HV4" s="1321"/>
      <c r="HW4" s="1321"/>
      <c r="HX4" s="1321"/>
      <c r="HY4" s="1321"/>
      <c r="HZ4" s="1321"/>
      <c r="IA4" s="1321"/>
      <c r="IB4" s="1321"/>
      <c r="IC4" s="1321"/>
      <c r="ID4" s="1321"/>
      <c r="IE4" s="1321"/>
      <c r="IF4" s="1321"/>
      <c r="IG4" s="1321"/>
      <c r="IH4" s="1321"/>
      <c r="II4" s="1321"/>
      <c r="IJ4" s="1321"/>
      <c r="IK4" s="1321"/>
      <c r="IL4" s="1321"/>
      <c r="IM4" s="1321"/>
      <c r="IN4" s="1321"/>
      <c r="IO4" s="1321"/>
      <c r="IP4" s="1321"/>
      <c r="IQ4" s="1321"/>
      <c r="IR4" s="1321"/>
      <c r="IS4" s="1321"/>
      <c r="IT4" s="1321"/>
      <c r="IU4" s="1321"/>
      <c r="IV4" s="1321"/>
    </row>
    <row r="5" spans="1:256" ht="12.75" customHeight="1">
      <c r="A5" s="1642"/>
      <c r="B5" s="1643"/>
      <c r="C5" s="1645" t="s">
        <v>1266</v>
      </c>
      <c r="D5" s="1645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1321"/>
      <c r="AN5" s="1321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1321"/>
      <c r="BB5" s="1321"/>
      <c r="BC5" s="1321"/>
      <c r="BD5" s="1321"/>
      <c r="BE5" s="1321"/>
      <c r="BF5" s="1321"/>
      <c r="BG5" s="1321"/>
      <c r="BH5" s="1321"/>
      <c r="BI5" s="1321"/>
      <c r="BJ5" s="1321"/>
      <c r="BK5" s="1321"/>
      <c r="BL5" s="1321"/>
      <c r="BM5" s="1321"/>
      <c r="BN5" s="1321"/>
      <c r="BO5" s="1321"/>
      <c r="BP5" s="1321"/>
      <c r="BQ5" s="1321"/>
      <c r="BR5" s="1321"/>
      <c r="BS5" s="1321"/>
      <c r="BT5" s="1321"/>
      <c r="BU5" s="1321"/>
      <c r="BV5" s="1321"/>
      <c r="BW5" s="1321"/>
      <c r="BX5" s="1321"/>
      <c r="BY5" s="1321"/>
      <c r="BZ5" s="1321"/>
      <c r="CA5" s="1321"/>
      <c r="CB5" s="1321"/>
      <c r="CC5" s="1321"/>
      <c r="CD5" s="1321"/>
      <c r="CE5" s="1321"/>
      <c r="CF5" s="1321"/>
      <c r="CG5" s="1321"/>
      <c r="CH5" s="1321"/>
      <c r="CI5" s="1321"/>
      <c r="CJ5" s="1321"/>
      <c r="CK5" s="1321"/>
      <c r="CL5" s="1321"/>
      <c r="CM5" s="1321"/>
      <c r="CN5" s="1321"/>
      <c r="CO5" s="1321"/>
      <c r="CP5" s="1321"/>
      <c r="CQ5" s="1321"/>
      <c r="CR5" s="1321"/>
      <c r="CS5" s="1321"/>
      <c r="CT5" s="1321"/>
      <c r="CU5" s="1321"/>
      <c r="CV5" s="1321"/>
      <c r="CW5" s="1321"/>
      <c r="CX5" s="1321"/>
      <c r="CY5" s="1321"/>
      <c r="CZ5" s="1321"/>
      <c r="DA5" s="1321"/>
      <c r="DB5" s="1321"/>
      <c r="DC5" s="1321"/>
      <c r="DD5" s="1321"/>
      <c r="DE5" s="1321"/>
      <c r="DF5" s="1321"/>
      <c r="DG5" s="1321"/>
      <c r="DH5" s="1321"/>
      <c r="DI5" s="1321"/>
      <c r="DJ5" s="1321"/>
      <c r="DK5" s="1321"/>
      <c r="DL5" s="1321"/>
      <c r="DM5" s="1321"/>
      <c r="DN5" s="1321"/>
      <c r="DO5" s="1321"/>
      <c r="DP5" s="1321"/>
      <c r="DQ5" s="1321"/>
      <c r="DR5" s="1321"/>
      <c r="DS5" s="1321"/>
      <c r="DT5" s="1321"/>
      <c r="DU5" s="1321"/>
      <c r="DV5" s="1321"/>
      <c r="DW5" s="1321"/>
      <c r="DX5" s="1321"/>
      <c r="DY5" s="1321"/>
      <c r="DZ5" s="1321"/>
      <c r="EA5" s="1321"/>
      <c r="EB5" s="1321"/>
      <c r="EC5" s="1321"/>
      <c r="ED5" s="1321"/>
      <c r="EE5" s="1321"/>
      <c r="EF5" s="1321"/>
      <c r="EG5" s="1321"/>
      <c r="EH5" s="1321"/>
      <c r="EI5" s="1321"/>
      <c r="EJ5" s="1321"/>
      <c r="EK5" s="1321"/>
      <c r="EL5" s="1321"/>
      <c r="EM5" s="1321"/>
      <c r="EN5" s="1321"/>
      <c r="EO5" s="1321"/>
      <c r="EP5" s="1321"/>
      <c r="EQ5" s="1321"/>
      <c r="ER5" s="1321"/>
      <c r="ES5" s="1321"/>
      <c r="ET5" s="1321"/>
      <c r="EU5" s="1321"/>
      <c r="EV5" s="1321"/>
      <c r="EW5" s="1321"/>
      <c r="EX5" s="1321"/>
      <c r="EY5" s="1321"/>
      <c r="EZ5" s="1321"/>
      <c r="FA5" s="1321"/>
      <c r="FB5" s="1321"/>
      <c r="FC5" s="1321"/>
      <c r="FD5" s="1321"/>
      <c r="FE5" s="1321"/>
      <c r="FF5" s="1321"/>
      <c r="FG5" s="1321"/>
      <c r="FH5" s="1321"/>
      <c r="FI5" s="1321"/>
      <c r="FJ5" s="1321"/>
      <c r="FK5" s="1321"/>
      <c r="FL5" s="1321"/>
      <c r="FM5" s="1321"/>
      <c r="FN5" s="1321"/>
      <c r="FO5" s="1321"/>
      <c r="FP5" s="1321"/>
      <c r="FQ5" s="1321"/>
      <c r="FR5" s="1321"/>
      <c r="FS5" s="1321"/>
      <c r="FT5" s="1321"/>
      <c r="FU5" s="1321"/>
      <c r="FV5" s="1321"/>
      <c r="FW5" s="1321"/>
      <c r="FX5" s="1321"/>
      <c r="FY5" s="1321"/>
      <c r="FZ5" s="1321"/>
      <c r="GA5" s="1321"/>
      <c r="GB5" s="1321"/>
      <c r="GC5" s="1321"/>
      <c r="GD5" s="1321"/>
      <c r="GE5" s="1321"/>
      <c r="GF5" s="1321"/>
      <c r="GG5" s="1321"/>
      <c r="GH5" s="1321"/>
      <c r="GI5" s="1321"/>
      <c r="GJ5" s="1321"/>
      <c r="GK5" s="1321"/>
      <c r="GL5" s="1321"/>
      <c r="GM5" s="1321"/>
      <c r="GN5" s="1321"/>
      <c r="GO5" s="1321"/>
      <c r="GP5" s="1321"/>
      <c r="GQ5" s="1321"/>
      <c r="GR5" s="1321"/>
      <c r="GS5" s="1321"/>
      <c r="GT5" s="1321"/>
      <c r="GU5" s="1321"/>
      <c r="GV5" s="1321"/>
      <c r="GW5" s="1321"/>
      <c r="GX5" s="1321"/>
      <c r="GY5" s="1321"/>
      <c r="GZ5" s="1321"/>
      <c r="HA5" s="1321"/>
      <c r="HB5" s="1321"/>
      <c r="HC5" s="1321"/>
      <c r="HD5" s="1321"/>
      <c r="HE5" s="1321"/>
      <c r="HF5" s="1321"/>
      <c r="HG5" s="1321"/>
      <c r="HH5" s="1321"/>
      <c r="HI5" s="1321"/>
      <c r="HJ5" s="1321"/>
      <c r="HK5" s="1321"/>
      <c r="HL5" s="1321"/>
      <c r="HM5" s="1321"/>
      <c r="HN5" s="1321"/>
      <c r="HO5" s="1321"/>
      <c r="HP5" s="1321"/>
      <c r="HQ5" s="1321"/>
      <c r="HR5" s="1321"/>
      <c r="HS5" s="1321"/>
      <c r="HT5" s="1321"/>
      <c r="HU5" s="1321"/>
      <c r="HV5" s="1321"/>
      <c r="HW5" s="1321"/>
      <c r="HX5" s="1321"/>
      <c r="HY5" s="1321"/>
      <c r="HZ5" s="1321"/>
      <c r="IA5" s="1321"/>
      <c r="IB5" s="1321"/>
      <c r="IC5" s="1321"/>
      <c r="ID5" s="1321"/>
      <c r="IE5" s="1321"/>
      <c r="IF5" s="1321"/>
      <c r="IG5" s="1321"/>
      <c r="IH5" s="1321"/>
      <c r="II5" s="1321"/>
      <c r="IJ5" s="1321"/>
      <c r="IK5" s="1321"/>
      <c r="IL5" s="1321"/>
      <c r="IM5" s="1321"/>
      <c r="IN5" s="1321"/>
      <c r="IO5" s="1321"/>
      <c r="IP5" s="1321"/>
      <c r="IQ5" s="1321"/>
      <c r="IR5" s="1321"/>
      <c r="IS5" s="1321"/>
      <c r="IT5" s="1321"/>
      <c r="IU5" s="1321"/>
      <c r="IV5" s="1321"/>
    </row>
    <row r="6" spans="1:4" s="1326" customFormat="1" ht="16.5" thickBot="1">
      <c r="A6" s="1348" t="s">
        <v>1267</v>
      </c>
      <c r="B6" s="1349" t="s">
        <v>15</v>
      </c>
      <c r="C6" s="1349" t="s">
        <v>688</v>
      </c>
      <c r="D6" s="1349" t="s">
        <v>689</v>
      </c>
    </row>
    <row r="7" spans="1:4" s="1330" customFormat="1" ht="15.75">
      <c r="A7" s="1350" t="s">
        <v>1268</v>
      </c>
      <c r="B7" s="1351" t="s">
        <v>1269</v>
      </c>
      <c r="C7" s="1352">
        <f>SUM(C8:C11)</f>
        <v>5168457</v>
      </c>
      <c r="D7" s="1352">
        <f>SUM(D8:D11)</f>
        <v>0</v>
      </c>
    </row>
    <row r="8" spans="1:4" s="1330" customFormat="1" ht="15.75">
      <c r="A8" s="1353" t="s">
        <v>1270</v>
      </c>
      <c r="B8" s="1354" t="s">
        <v>1271</v>
      </c>
      <c r="C8" s="1355"/>
      <c r="D8" s="1355"/>
    </row>
    <row r="9" spans="1:4" s="1330" customFormat="1" ht="47.25">
      <c r="A9" s="1353" t="s">
        <v>1272</v>
      </c>
      <c r="B9" s="1354" t="s">
        <v>1273</v>
      </c>
      <c r="C9" s="1355"/>
      <c r="D9" s="1355"/>
    </row>
    <row r="10" spans="1:4" s="1330" customFormat="1" ht="15.75">
      <c r="A10" s="1353" t="s">
        <v>1274</v>
      </c>
      <c r="B10" s="1354" t="s">
        <v>1275</v>
      </c>
      <c r="C10" s="1355">
        <v>3551893</v>
      </c>
      <c r="D10" s="1355"/>
    </row>
    <row r="11" spans="1:4" s="1330" customFormat="1" ht="15.75">
      <c r="A11" s="1353" t="s">
        <v>1276</v>
      </c>
      <c r="B11" s="1354" t="s">
        <v>1277</v>
      </c>
      <c r="C11" s="1355">
        <v>1616564</v>
      </c>
      <c r="D11" s="1355"/>
    </row>
    <row r="12" spans="1:4" s="1330" customFormat="1" ht="15.75">
      <c r="A12" s="1356" t="s">
        <v>1278</v>
      </c>
      <c r="B12" s="1357" t="s">
        <v>1279</v>
      </c>
      <c r="C12" s="1358">
        <f>SUM(C13+C18+C23+C28+C33)</f>
        <v>12366204</v>
      </c>
      <c r="D12" s="1358">
        <f>SUM(D13+D18+D23+D28+D33)</f>
        <v>222683</v>
      </c>
    </row>
    <row r="13" spans="1:4" s="1330" customFormat="1" ht="31.5">
      <c r="A13" s="1356" t="s">
        <v>1280</v>
      </c>
      <c r="B13" s="1357" t="s">
        <v>1281</v>
      </c>
      <c r="C13" s="1358">
        <f>SUM(C14:C17)</f>
        <v>0</v>
      </c>
      <c r="D13" s="1358">
        <f>SUM(D14:D17)</f>
        <v>0</v>
      </c>
    </row>
    <row r="14" spans="1:4" s="1330" customFormat="1" ht="31.5">
      <c r="A14" s="1353" t="s">
        <v>1282</v>
      </c>
      <c r="B14" s="1354" t="s">
        <v>1283</v>
      </c>
      <c r="C14" s="1355"/>
      <c r="D14" s="1355"/>
    </row>
    <row r="15" spans="1:4" s="1330" customFormat="1" ht="39" customHeight="1">
      <c r="A15" s="1353" t="s">
        <v>1284</v>
      </c>
      <c r="B15" s="1354" t="s">
        <v>1285</v>
      </c>
      <c r="C15" s="1355"/>
      <c r="D15" s="1355"/>
    </row>
    <row r="16" spans="1:4" s="1330" customFormat="1" ht="31.5">
      <c r="A16" s="1353" t="s">
        <v>1286</v>
      </c>
      <c r="B16" s="1354" t="s">
        <v>405</v>
      </c>
      <c r="C16" s="1355"/>
      <c r="D16" s="1355"/>
    </row>
    <row r="17" spans="1:4" s="1330" customFormat="1" ht="15.75">
      <c r="A17" s="1353" t="s">
        <v>1287</v>
      </c>
      <c r="B17" s="1354" t="s">
        <v>407</v>
      </c>
      <c r="C17" s="1355"/>
      <c r="D17" s="1355"/>
    </row>
    <row r="18" spans="1:4" s="1330" customFormat="1" ht="31.5">
      <c r="A18" s="1356" t="s">
        <v>1288</v>
      </c>
      <c r="B18" s="1357" t="s">
        <v>408</v>
      </c>
      <c r="C18" s="1359">
        <f>SUM(C19:C22)</f>
        <v>12366204</v>
      </c>
      <c r="D18" s="1359">
        <f>SUM(D19:D22)</f>
        <v>222683</v>
      </c>
    </row>
    <row r="19" spans="1:4" s="1330" customFormat="1" ht="31.5">
      <c r="A19" s="1353" t="s">
        <v>1289</v>
      </c>
      <c r="B19" s="1354" t="s">
        <v>409</v>
      </c>
      <c r="C19" s="1355"/>
      <c r="D19" s="1355"/>
    </row>
    <row r="20" spans="1:4" s="1330" customFormat="1" ht="47.25">
      <c r="A20" s="1353" t="s">
        <v>1290</v>
      </c>
      <c r="B20" s="1354" t="s">
        <v>410</v>
      </c>
      <c r="C20" s="1355"/>
      <c r="D20" s="1355"/>
    </row>
    <row r="21" spans="1:4" s="1330" customFormat="1" ht="31.5">
      <c r="A21" s="1353" t="s">
        <v>1291</v>
      </c>
      <c r="B21" s="1354" t="s">
        <v>411</v>
      </c>
      <c r="C21" s="1355"/>
      <c r="D21" s="1355"/>
    </row>
    <row r="22" spans="1:4" s="1330" customFormat="1" ht="15.75">
      <c r="A22" s="1353" t="s">
        <v>1292</v>
      </c>
      <c r="B22" s="1354" t="s">
        <v>708</v>
      </c>
      <c r="C22" s="1355">
        <v>12366204</v>
      </c>
      <c r="D22" s="1355">
        <v>222683</v>
      </c>
    </row>
    <row r="23" spans="1:4" s="1330" customFormat="1" ht="15.75">
      <c r="A23" s="1356" t="s">
        <v>1293</v>
      </c>
      <c r="B23" s="1357" t="s">
        <v>710</v>
      </c>
      <c r="C23" s="1360"/>
      <c r="D23" s="1360"/>
    </row>
    <row r="24" spans="1:4" s="1330" customFormat="1" ht="15.75">
      <c r="A24" s="1353" t="s">
        <v>1294</v>
      </c>
      <c r="B24" s="1354" t="s">
        <v>712</v>
      </c>
      <c r="C24" s="1355"/>
      <c r="D24" s="1355"/>
    </row>
    <row r="25" spans="1:4" s="1330" customFormat="1" ht="31.5">
      <c r="A25" s="1353" t="s">
        <v>1295</v>
      </c>
      <c r="B25" s="1354" t="s">
        <v>714</v>
      </c>
      <c r="C25" s="1355"/>
      <c r="D25" s="1355"/>
    </row>
    <row r="26" spans="1:4" s="1330" customFormat="1" ht="15.75">
      <c r="A26" s="1353" t="s">
        <v>1296</v>
      </c>
      <c r="B26" s="1354" t="s">
        <v>715</v>
      </c>
      <c r="C26" s="1355"/>
      <c r="D26" s="1355"/>
    </row>
    <row r="27" spans="1:4" s="1330" customFormat="1" ht="15.75">
      <c r="A27" s="1353" t="s">
        <v>1297</v>
      </c>
      <c r="B27" s="1354" t="s">
        <v>1298</v>
      </c>
      <c r="C27" s="1355"/>
      <c r="D27" s="1355"/>
    </row>
    <row r="28" spans="1:4" s="1330" customFormat="1" ht="15.75">
      <c r="A28" s="1356" t="s">
        <v>1299</v>
      </c>
      <c r="B28" s="1357" t="s">
        <v>1300</v>
      </c>
      <c r="C28" s="1359">
        <f>SUM(C29:C32)</f>
        <v>0</v>
      </c>
      <c r="D28" s="1359">
        <f>SUM(D29:D32)</f>
        <v>0</v>
      </c>
    </row>
    <row r="29" spans="1:4" s="1330" customFormat="1" ht="15.75">
      <c r="A29" s="1353" t="s">
        <v>1301</v>
      </c>
      <c r="B29" s="1354" t="s">
        <v>1302</v>
      </c>
      <c r="C29" s="1355"/>
      <c r="D29" s="1355"/>
    </row>
    <row r="30" spans="1:4" s="1330" customFormat="1" ht="31.5">
      <c r="A30" s="1353" t="s">
        <v>1303</v>
      </c>
      <c r="B30" s="1354" t="s">
        <v>1304</v>
      </c>
      <c r="C30" s="1355"/>
      <c r="D30" s="1355"/>
    </row>
    <row r="31" spans="1:4" s="1330" customFormat="1" ht="15.75">
      <c r="A31" s="1353" t="s">
        <v>1305</v>
      </c>
      <c r="B31" s="1354" t="s">
        <v>1306</v>
      </c>
      <c r="C31" s="1355"/>
      <c r="D31" s="1355"/>
    </row>
    <row r="32" spans="1:4" s="1330" customFormat="1" ht="15.75">
      <c r="A32" s="1353" t="s">
        <v>1307</v>
      </c>
      <c r="B32" s="1354" t="s">
        <v>1308</v>
      </c>
      <c r="C32" s="1355"/>
      <c r="D32" s="1355"/>
    </row>
    <row r="33" spans="1:4" s="1330" customFormat="1" ht="15.75">
      <c r="A33" s="1356" t="s">
        <v>1309</v>
      </c>
      <c r="B33" s="1357" t="s">
        <v>1310</v>
      </c>
      <c r="C33" s="1360"/>
      <c r="D33" s="1360"/>
    </row>
    <row r="34" spans="1:4" s="1330" customFormat="1" ht="15.75">
      <c r="A34" s="1353" t="s">
        <v>1311</v>
      </c>
      <c r="B34" s="1354" t="s">
        <v>1312</v>
      </c>
      <c r="C34" s="1355"/>
      <c r="D34" s="1355"/>
    </row>
    <row r="35" spans="1:4" s="1330" customFormat="1" ht="47.25">
      <c r="A35" s="1353" t="s">
        <v>1313</v>
      </c>
      <c r="B35" s="1354" t="s">
        <v>1314</v>
      </c>
      <c r="C35" s="1355"/>
      <c r="D35" s="1355"/>
    </row>
    <row r="36" spans="1:4" s="1330" customFormat="1" ht="31.5">
      <c r="A36" s="1353" t="s">
        <v>1315</v>
      </c>
      <c r="B36" s="1354" t="s">
        <v>1316</v>
      </c>
      <c r="C36" s="1355"/>
      <c r="D36" s="1355"/>
    </row>
    <row r="37" spans="1:4" s="1330" customFormat="1" ht="15.75">
      <c r="A37" s="1353" t="s">
        <v>1317</v>
      </c>
      <c r="B37" s="1354" t="s">
        <v>1318</v>
      </c>
      <c r="C37" s="1355"/>
      <c r="D37" s="1355"/>
    </row>
    <row r="38" spans="1:4" s="1330" customFormat="1" ht="15.75">
      <c r="A38" s="1356" t="s">
        <v>1319</v>
      </c>
      <c r="B38" s="1357" t="s">
        <v>1320</v>
      </c>
      <c r="C38" s="1359">
        <f>SUM(C39+C44+C49)</f>
        <v>0</v>
      </c>
      <c r="D38" s="1359">
        <f>SUM(D39+D44+D49)</f>
        <v>0</v>
      </c>
    </row>
    <row r="39" spans="1:4" s="1330" customFormat="1" ht="15.75">
      <c r="A39" s="1356" t="s">
        <v>1321</v>
      </c>
      <c r="B39" s="1357" t="s">
        <v>1322</v>
      </c>
      <c r="C39" s="1359">
        <f>SUM(C40:C43)</f>
        <v>0</v>
      </c>
      <c r="D39" s="1359">
        <f>SUM(D40:D43)</f>
        <v>0</v>
      </c>
    </row>
    <row r="40" spans="1:4" s="1330" customFormat="1" ht="15.75">
      <c r="A40" s="1353" t="s">
        <v>1323</v>
      </c>
      <c r="B40" s="1354" t="s">
        <v>1324</v>
      </c>
      <c r="C40" s="1355"/>
      <c r="D40" s="1355"/>
    </row>
    <row r="41" spans="1:4" s="1330" customFormat="1" ht="31.5">
      <c r="A41" s="1353" t="s">
        <v>1325</v>
      </c>
      <c r="B41" s="1354" t="s">
        <v>1326</v>
      </c>
      <c r="C41" s="1355"/>
      <c r="D41" s="1355"/>
    </row>
    <row r="42" spans="1:4" s="1330" customFormat="1" ht="15.75">
      <c r="A42" s="1353" t="s">
        <v>1327</v>
      </c>
      <c r="B42" s="1354" t="s">
        <v>1328</v>
      </c>
      <c r="C42" s="1355"/>
      <c r="D42" s="1355"/>
    </row>
    <row r="43" spans="1:4" s="1330" customFormat="1" ht="15.75">
      <c r="A43" s="1353" t="s">
        <v>1329</v>
      </c>
      <c r="B43" s="1354" t="s">
        <v>1330</v>
      </c>
      <c r="C43" s="1355"/>
      <c r="D43" s="1355"/>
    </row>
    <row r="44" spans="1:4" s="1330" customFormat="1" ht="31.5">
      <c r="A44" s="1356" t="s">
        <v>1331</v>
      </c>
      <c r="B44" s="1357" t="s">
        <v>1332</v>
      </c>
      <c r="C44" s="1360"/>
      <c r="D44" s="1360"/>
    </row>
    <row r="45" spans="1:4" s="1330" customFormat="1" ht="31.5">
      <c r="A45" s="1353" t="s">
        <v>1333</v>
      </c>
      <c r="B45" s="1354" t="s">
        <v>1334</v>
      </c>
      <c r="C45" s="1355"/>
      <c r="D45" s="1355"/>
    </row>
    <row r="46" spans="1:4" s="1330" customFormat="1" ht="47.25">
      <c r="A46" s="1353" t="s">
        <v>1335</v>
      </c>
      <c r="B46" s="1354" t="s">
        <v>1336</v>
      </c>
      <c r="C46" s="1355"/>
      <c r="D46" s="1355"/>
    </row>
    <row r="47" spans="1:4" s="1330" customFormat="1" ht="31.5">
      <c r="A47" s="1353" t="s">
        <v>1337</v>
      </c>
      <c r="B47" s="1354" t="s">
        <v>1338</v>
      </c>
      <c r="C47" s="1355"/>
      <c r="D47" s="1355"/>
    </row>
    <row r="48" spans="1:4" s="1330" customFormat="1" ht="15.75">
      <c r="A48" s="1353" t="s">
        <v>1339</v>
      </c>
      <c r="B48" s="1354" t="s">
        <v>1340</v>
      </c>
      <c r="C48" s="1355"/>
      <c r="D48" s="1355"/>
    </row>
    <row r="49" spans="1:4" s="1330" customFormat="1" ht="31.5">
      <c r="A49" s="1356" t="s">
        <v>1341</v>
      </c>
      <c r="B49" s="1357" t="s">
        <v>1342</v>
      </c>
      <c r="C49" s="1360"/>
      <c r="D49" s="1360"/>
    </row>
    <row r="50" spans="1:4" s="1330" customFormat="1" ht="31.5">
      <c r="A50" s="1353" t="s">
        <v>1343</v>
      </c>
      <c r="B50" s="1354" t="s">
        <v>1344</v>
      </c>
      <c r="C50" s="1355"/>
      <c r="D50" s="1355"/>
    </row>
    <row r="51" spans="1:4" s="1330" customFormat="1" ht="47.25">
      <c r="A51" s="1353" t="s">
        <v>1345</v>
      </c>
      <c r="B51" s="1354" t="s">
        <v>1346</v>
      </c>
      <c r="C51" s="1355"/>
      <c r="D51" s="1355"/>
    </row>
    <row r="52" spans="1:4" s="1330" customFormat="1" ht="31.5">
      <c r="A52" s="1353" t="s">
        <v>1347</v>
      </c>
      <c r="B52" s="1354" t="s">
        <v>1348</v>
      </c>
      <c r="C52" s="1355"/>
      <c r="D52" s="1355"/>
    </row>
    <row r="53" spans="1:4" s="1330" customFormat="1" ht="15.75">
      <c r="A53" s="1353" t="s">
        <v>1349</v>
      </c>
      <c r="B53" s="1354" t="s">
        <v>1350</v>
      </c>
      <c r="C53" s="1355"/>
      <c r="D53" s="1355"/>
    </row>
    <row r="54" spans="1:4" s="1330" customFormat="1" ht="15.75">
      <c r="A54" s="1356" t="s">
        <v>1351</v>
      </c>
      <c r="B54" s="1354" t="s">
        <v>1352</v>
      </c>
      <c r="C54" s="1355"/>
      <c r="D54" s="1355"/>
    </row>
    <row r="55" spans="1:4" ht="47.25">
      <c r="A55" s="1356" t="s">
        <v>1353</v>
      </c>
      <c r="B55" s="1357" t="s">
        <v>1354</v>
      </c>
      <c r="C55" s="1359">
        <f>SUM(C7+C12+C38+C54)</f>
        <v>17534661</v>
      </c>
      <c r="D55" s="1359">
        <f>SUM(D7+D12+D38+D54)</f>
        <v>222683</v>
      </c>
    </row>
    <row r="56" spans="1:4" ht="15.75">
      <c r="A56" s="1356" t="s">
        <v>1355</v>
      </c>
      <c r="B56" s="1354" t="s">
        <v>1356</v>
      </c>
      <c r="C56" s="1361"/>
      <c r="D56" s="1361"/>
    </row>
    <row r="57" spans="1:4" ht="15.75">
      <c r="A57" s="1356" t="s">
        <v>1357</v>
      </c>
      <c r="B57" s="1354" t="s">
        <v>1358</v>
      </c>
      <c r="C57" s="1355"/>
      <c r="D57" s="1355"/>
    </row>
    <row r="58" spans="1:4" ht="31.5">
      <c r="A58" s="1356" t="s">
        <v>1359</v>
      </c>
      <c r="B58" s="1357" t="s">
        <v>1360</v>
      </c>
      <c r="C58" s="1359"/>
      <c r="D58" s="1359"/>
    </row>
    <row r="59" spans="1:4" ht="15.75">
      <c r="A59" s="1356" t="s">
        <v>1361</v>
      </c>
      <c r="B59" s="1354" t="s">
        <v>1362</v>
      </c>
      <c r="C59" s="1362"/>
      <c r="D59" s="1361"/>
    </row>
    <row r="60" spans="1:4" ht="15.75">
      <c r="A60" s="1356" t="s">
        <v>1363</v>
      </c>
      <c r="B60" s="1354" t="s">
        <v>1364</v>
      </c>
      <c r="C60" s="1362"/>
      <c r="D60" s="1361"/>
    </row>
    <row r="61" spans="1:4" ht="15.75">
      <c r="A61" s="1356" t="s">
        <v>1365</v>
      </c>
      <c r="B61" s="1354" t="s">
        <v>1366</v>
      </c>
      <c r="C61" s="1362"/>
      <c r="D61" s="1361">
        <v>987190</v>
      </c>
    </row>
    <row r="62" spans="1:4" ht="15.75">
      <c r="A62" s="1356" t="s">
        <v>1367</v>
      </c>
      <c r="B62" s="1354" t="s">
        <v>1368</v>
      </c>
      <c r="C62" s="1362"/>
      <c r="D62" s="1361"/>
    </row>
    <row r="63" spans="1:4" ht="15.75">
      <c r="A63" s="1356" t="s">
        <v>1369</v>
      </c>
      <c r="B63" s="1354" t="s">
        <v>1370</v>
      </c>
      <c r="C63" s="1362"/>
      <c r="D63" s="1361"/>
    </row>
    <row r="64" spans="1:4" ht="15.75">
      <c r="A64" s="1356" t="s">
        <v>1371</v>
      </c>
      <c r="B64" s="1357" t="s">
        <v>1372</v>
      </c>
      <c r="C64" s="1363"/>
      <c r="D64" s="1359">
        <f>SUM(D59:D63)</f>
        <v>987190</v>
      </c>
    </row>
    <row r="65" spans="1:4" ht="15.75">
      <c r="A65" s="1356" t="s">
        <v>1373</v>
      </c>
      <c r="B65" s="1354" t="s">
        <v>1374</v>
      </c>
      <c r="C65" s="1362"/>
      <c r="D65" s="1361"/>
    </row>
    <row r="66" spans="1:4" ht="15.75">
      <c r="A66" s="1356" t="s">
        <v>1375</v>
      </c>
      <c r="B66" s="1354" t="s">
        <v>1376</v>
      </c>
      <c r="C66" s="1362"/>
      <c r="D66" s="1361"/>
    </row>
    <row r="67" spans="1:4" ht="15.75">
      <c r="A67" s="1356" t="s">
        <v>1377</v>
      </c>
      <c r="B67" s="1354" t="s">
        <v>1378</v>
      </c>
      <c r="C67" s="1362"/>
      <c r="D67" s="1361">
        <v>564</v>
      </c>
    </row>
    <row r="68" spans="1:4" ht="15.75">
      <c r="A68" s="1356" t="s">
        <v>1379</v>
      </c>
      <c r="B68" s="1357" t="s">
        <v>1380</v>
      </c>
      <c r="C68" s="1363"/>
      <c r="D68" s="1359">
        <f>SUM(D65:D67)</f>
        <v>564</v>
      </c>
    </row>
    <row r="69" spans="1:4" ht="15.75">
      <c r="A69" s="1356" t="s">
        <v>1381</v>
      </c>
      <c r="B69" s="1354" t="s">
        <v>1382</v>
      </c>
      <c r="C69" s="1362"/>
      <c r="D69" s="1361"/>
    </row>
    <row r="70" spans="1:4" ht="47.25">
      <c r="A70" s="1356" t="s">
        <v>1383</v>
      </c>
      <c r="B70" s="1354" t="s">
        <v>1384</v>
      </c>
      <c r="C70" s="1362"/>
      <c r="D70" s="1361"/>
    </row>
    <row r="71" spans="1:4" ht="31.5">
      <c r="A71" s="1356" t="s">
        <v>1385</v>
      </c>
      <c r="B71" s="1357" t="s">
        <v>1386</v>
      </c>
      <c r="C71" s="1363"/>
      <c r="D71" s="1359"/>
    </row>
    <row r="72" spans="1:4" ht="15.75">
      <c r="A72" s="1356" t="s">
        <v>1387</v>
      </c>
      <c r="B72" s="1357" t="s">
        <v>1388</v>
      </c>
      <c r="C72" s="1362"/>
      <c r="D72" s="1361"/>
    </row>
    <row r="73" spans="1:4" ht="16.5" thickBot="1">
      <c r="A73" s="1364" t="s">
        <v>1389</v>
      </c>
      <c r="B73" s="1357" t="s">
        <v>1390</v>
      </c>
      <c r="C73" s="1365"/>
      <c r="D73" s="1365">
        <f>SUM(D68+D64+D58+D55+D71+D72+D56)</f>
        <v>1210437</v>
      </c>
    </row>
    <row r="75" ht="16.5" thickBot="1"/>
    <row r="76" spans="1:3" ht="15.75">
      <c r="A76" s="1628" t="s">
        <v>1416</v>
      </c>
      <c r="B76" s="1630" t="s">
        <v>6</v>
      </c>
      <c r="C76" s="1632" t="s">
        <v>1417</v>
      </c>
    </row>
    <row r="77" spans="1:3" ht="15.75">
      <c r="A77" s="1629"/>
      <c r="B77" s="1631"/>
      <c r="C77" s="1633"/>
    </row>
    <row r="78" spans="1:3" ht="16.5" thickBot="1">
      <c r="A78" s="1412" t="s">
        <v>687</v>
      </c>
      <c r="B78" s="1413" t="s">
        <v>15</v>
      </c>
      <c r="C78" s="1414" t="s">
        <v>688</v>
      </c>
    </row>
    <row r="79" spans="1:3" ht="15.75">
      <c r="A79" s="1415" t="s">
        <v>1418</v>
      </c>
      <c r="B79" s="1416" t="s">
        <v>1269</v>
      </c>
      <c r="C79" s="1417">
        <f>+'12.sz.m.mérleg'!F185</f>
        <v>2204204</v>
      </c>
    </row>
    <row r="80" spans="1:3" ht="15.75">
      <c r="A80" s="1415" t="s">
        <v>1419</v>
      </c>
      <c r="B80" s="1418" t="s">
        <v>1271</v>
      </c>
      <c r="C80" s="1417">
        <f>+'12.sz.m.mérleg'!F186</f>
        <v>0</v>
      </c>
    </row>
    <row r="81" spans="1:3" ht="15.75">
      <c r="A81" s="1415" t="s">
        <v>1420</v>
      </c>
      <c r="B81" s="1418" t="s">
        <v>1273</v>
      </c>
      <c r="C81" s="1417">
        <f>+'12.sz.m.mérleg'!F190</f>
        <v>14503886</v>
      </c>
    </row>
    <row r="82" spans="1:3" ht="15.75">
      <c r="A82" s="1415" t="s">
        <v>1421</v>
      </c>
      <c r="B82" s="1418" t="s">
        <v>1275</v>
      </c>
      <c r="C82" s="1417">
        <f>+'12.sz.m.mérleg'!F191</f>
        <v>-20724111</v>
      </c>
    </row>
    <row r="83" spans="1:3" ht="15.75">
      <c r="A83" s="1415" t="s">
        <v>1422</v>
      </c>
      <c r="B83" s="1418" t="s">
        <v>1277</v>
      </c>
      <c r="C83" s="1419">
        <f>'[2]12.sz.m.mérleg'!C192</f>
        <v>0</v>
      </c>
    </row>
    <row r="84" spans="1:3" ht="15.75">
      <c r="A84" s="1415" t="s">
        <v>1423</v>
      </c>
      <c r="B84" s="1418" t="s">
        <v>1279</v>
      </c>
      <c r="C84" s="1419">
        <f>+'12.sz.m.mérleg'!F193</f>
        <v>-1508203</v>
      </c>
    </row>
    <row r="85" spans="1:3" ht="15.75">
      <c r="A85" s="1415" t="s">
        <v>1424</v>
      </c>
      <c r="B85" s="1420" t="s">
        <v>1281</v>
      </c>
      <c r="C85" s="1421">
        <f>SUM(C79:C84)</f>
        <v>-5524224</v>
      </c>
    </row>
    <row r="86" spans="1:3" ht="15.75">
      <c r="A86" s="1415" t="s">
        <v>1425</v>
      </c>
      <c r="B86" s="1418" t="s">
        <v>1283</v>
      </c>
      <c r="C86" s="1422">
        <f>+'12.sz.m.mérleg'!F220</f>
        <v>0</v>
      </c>
    </row>
    <row r="87" spans="1:3" ht="15.75">
      <c r="A87" s="1415" t="s">
        <v>1426</v>
      </c>
      <c r="B87" s="1418" t="s">
        <v>1285</v>
      </c>
      <c r="C87" s="1419">
        <f>+'12.sz.m.mérleg'!F244</f>
        <v>0</v>
      </c>
    </row>
    <row r="88" spans="1:3" ht="15.75">
      <c r="A88" s="1415" t="s">
        <v>1427</v>
      </c>
      <c r="B88" s="1418" t="s">
        <v>405</v>
      </c>
      <c r="C88" s="1419">
        <f>+'12.sz.m.mérleg'!F255</f>
        <v>0</v>
      </c>
    </row>
    <row r="89" spans="1:3" ht="15.75">
      <c r="A89" s="1415" t="s">
        <v>1428</v>
      </c>
      <c r="B89" s="1420" t="s">
        <v>407</v>
      </c>
      <c r="C89" s="1421">
        <f>C86+C87+C88</f>
        <v>0</v>
      </c>
    </row>
    <row r="90" spans="1:3" ht="15.75">
      <c r="A90" s="1415" t="s">
        <v>1245</v>
      </c>
      <c r="B90" s="1420" t="s">
        <v>408</v>
      </c>
      <c r="C90" s="1419"/>
    </row>
    <row r="91" spans="1:3" ht="15.75">
      <c r="A91" s="1415" t="s">
        <v>1429</v>
      </c>
      <c r="B91" s="1420" t="s">
        <v>409</v>
      </c>
      <c r="C91" s="1423">
        <f>+'12.sz.m.mérleg'!F261</f>
        <v>6734661</v>
      </c>
    </row>
    <row r="92" spans="1:3" ht="16.5" thickBot="1">
      <c r="A92" s="1424" t="s">
        <v>1430</v>
      </c>
      <c r="B92" s="1425" t="s">
        <v>410</v>
      </c>
      <c r="C92" s="1426">
        <f>C85+C89+C90+C91</f>
        <v>1210437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&amp;R13.b.számú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7"/>
  </sheetPr>
  <dimension ref="A1:IV92"/>
  <sheetViews>
    <sheetView workbookViewId="0" topLeftCell="A82">
      <selection activeCell="C2" sqref="C2:D2"/>
    </sheetView>
  </sheetViews>
  <sheetFormatPr defaultColWidth="60.421875" defaultRowHeight="12.75"/>
  <cols>
    <col min="1" max="1" width="60.421875" style="1366" customWidth="1"/>
    <col min="2" max="2" width="5.57421875" style="1225" customWidth="1"/>
    <col min="3" max="3" width="13.28125" style="1366" customWidth="1"/>
    <col min="4" max="4" width="14.8515625" style="1366" customWidth="1"/>
    <col min="5" max="255" width="10.7109375" style="1220" customWidth="1"/>
    <col min="256" max="16384" width="60.421875" style="1220" customWidth="1"/>
  </cols>
  <sheetData>
    <row r="1" spans="1:256" ht="49.5" customHeight="1">
      <c r="A1" s="1640" t="s">
        <v>1261</v>
      </c>
      <c r="B1" s="1640"/>
      <c r="C1" s="1640"/>
      <c r="D1" s="1640"/>
      <c r="E1" s="1321"/>
      <c r="F1" s="1321"/>
      <c r="G1" s="1321"/>
      <c r="H1" s="1321"/>
      <c r="I1" s="1321"/>
      <c r="J1" s="1321"/>
      <c r="K1" s="1321"/>
      <c r="L1" s="1321"/>
      <c r="M1" s="1321"/>
      <c r="N1" s="1321"/>
      <c r="O1" s="1321"/>
      <c r="P1" s="1321"/>
      <c r="Q1" s="1321"/>
      <c r="R1" s="1321"/>
      <c r="S1" s="1321"/>
      <c r="T1" s="1321"/>
      <c r="U1" s="1321"/>
      <c r="V1" s="1321"/>
      <c r="W1" s="1321"/>
      <c r="X1" s="1321"/>
      <c r="Y1" s="1321"/>
      <c r="Z1" s="1321"/>
      <c r="AA1" s="1321"/>
      <c r="AB1" s="1321"/>
      <c r="AC1" s="1321"/>
      <c r="AD1" s="1321"/>
      <c r="AE1" s="1321"/>
      <c r="AF1" s="1321"/>
      <c r="AG1" s="1321"/>
      <c r="AH1" s="1321"/>
      <c r="AI1" s="1321"/>
      <c r="AJ1" s="1321"/>
      <c r="AK1" s="1321"/>
      <c r="AL1" s="1321"/>
      <c r="AM1" s="1321"/>
      <c r="AN1" s="1321"/>
      <c r="AO1" s="1321"/>
      <c r="AP1" s="1321"/>
      <c r="AQ1" s="1321"/>
      <c r="AR1" s="1321"/>
      <c r="AS1" s="1321"/>
      <c r="AT1" s="1321"/>
      <c r="AU1" s="1321"/>
      <c r="AV1" s="1321"/>
      <c r="AW1" s="1321"/>
      <c r="AX1" s="1321"/>
      <c r="AY1" s="1321"/>
      <c r="AZ1" s="1321"/>
      <c r="BA1" s="1321"/>
      <c r="BB1" s="1321"/>
      <c r="BC1" s="1321"/>
      <c r="BD1" s="1321"/>
      <c r="BE1" s="1321"/>
      <c r="BF1" s="1321"/>
      <c r="BG1" s="1321"/>
      <c r="BH1" s="1321"/>
      <c r="BI1" s="1321"/>
      <c r="BJ1" s="1321"/>
      <c r="BK1" s="1321"/>
      <c r="BL1" s="1321"/>
      <c r="BM1" s="1321"/>
      <c r="BN1" s="1321"/>
      <c r="BO1" s="1321"/>
      <c r="BP1" s="1321"/>
      <c r="BQ1" s="1321"/>
      <c r="BR1" s="1321"/>
      <c r="BS1" s="1321"/>
      <c r="BT1" s="1321"/>
      <c r="BU1" s="1321"/>
      <c r="BV1" s="1321"/>
      <c r="BW1" s="1321"/>
      <c r="BX1" s="1321"/>
      <c r="BY1" s="1321"/>
      <c r="BZ1" s="1321"/>
      <c r="CA1" s="1321"/>
      <c r="CB1" s="1321"/>
      <c r="CC1" s="1321"/>
      <c r="CD1" s="1321"/>
      <c r="CE1" s="1321"/>
      <c r="CF1" s="1321"/>
      <c r="CG1" s="1321"/>
      <c r="CH1" s="1321"/>
      <c r="CI1" s="1321"/>
      <c r="CJ1" s="1321"/>
      <c r="CK1" s="1321"/>
      <c r="CL1" s="1321"/>
      <c r="CM1" s="1321"/>
      <c r="CN1" s="1321"/>
      <c r="CO1" s="1321"/>
      <c r="CP1" s="1321"/>
      <c r="CQ1" s="1321"/>
      <c r="CR1" s="1321"/>
      <c r="CS1" s="1321"/>
      <c r="CT1" s="1321"/>
      <c r="CU1" s="1321"/>
      <c r="CV1" s="1321"/>
      <c r="CW1" s="1321"/>
      <c r="CX1" s="1321"/>
      <c r="CY1" s="1321"/>
      <c r="CZ1" s="1321"/>
      <c r="DA1" s="1321"/>
      <c r="DB1" s="1321"/>
      <c r="DC1" s="1321"/>
      <c r="DD1" s="1321"/>
      <c r="DE1" s="1321"/>
      <c r="DF1" s="1321"/>
      <c r="DG1" s="1321"/>
      <c r="DH1" s="1321"/>
      <c r="DI1" s="1321"/>
      <c r="DJ1" s="1321"/>
      <c r="DK1" s="1321"/>
      <c r="DL1" s="1321"/>
      <c r="DM1" s="1321"/>
      <c r="DN1" s="1321"/>
      <c r="DO1" s="1321"/>
      <c r="DP1" s="1321"/>
      <c r="DQ1" s="1321"/>
      <c r="DR1" s="1321"/>
      <c r="DS1" s="1321"/>
      <c r="DT1" s="1321"/>
      <c r="DU1" s="1321"/>
      <c r="DV1" s="1321"/>
      <c r="DW1" s="1321"/>
      <c r="DX1" s="1321"/>
      <c r="DY1" s="1321"/>
      <c r="DZ1" s="1321"/>
      <c r="EA1" s="1321"/>
      <c r="EB1" s="1321"/>
      <c r="EC1" s="1321"/>
      <c r="ED1" s="1321"/>
      <c r="EE1" s="1321"/>
      <c r="EF1" s="1321"/>
      <c r="EG1" s="1321"/>
      <c r="EH1" s="1321"/>
      <c r="EI1" s="1321"/>
      <c r="EJ1" s="1321"/>
      <c r="EK1" s="1321"/>
      <c r="EL1" s="1321"/>
      <c r="EM1" s="1321"/>
      <c r="EN1" s="1321"/>
      <c r="EO1" s="1321"/>
      <c r="EP1" s="1321"/>
      <c r="EQ1" s="1321"/>
      <c r="ER1" s="1321"/>
      <c r="ES1" s="1321"/>
      <c r="ET1" s="1321"/>
      <c r="EU1" s="1321"/>
      <c r="EV1" s="1321"/>
      <c r="EW1" s="1321"/>
      <c r="EX1" s="1321"/>
      <c r="EY1" s="1321"/>
      <c r="EZ1" s="1321"/>
      <c r="FA1" s="1321"/>
      <c r="FB1" s="1321"/>
      <c r="FC1" s="1321"/>
      <c r="FD1" s="1321"/>
      <c r="FE1" s="1321"/>
      <c r="FF1" s="1321"/>
      <c r="FG1" s="1321"/>
      <c r="FH1" s="1321"/>
      <c r="FI1" s="1321"/>
      <c r="FJ1" s="1321"/>
      <c r="FK1" s="1321"/>
      <c r="FL1" s="1321"/>
      <c r="FM1" s="1321"/>
      <c r="FN1" s="1321"/>
      <c r="FO1" s="1321"/>
      <c r="FP1" s="1321"/>
      <c r="FQ1" s="1321"/>
      <c r="FR1" s="1321"/>
      <c r="FS1" s="1321"/>
      <c r="FT1" s="1321"/>
      <c r="FU1" s="1321"/>
      <c r="FV1" s="1321"/>
      <c r="FW1" s="1321"/>
      <c r="FX1" s="1321"/>
      <c r="FY1" s="1321"/>
      <c r="FZ1" s="1321"/>
      <c r="GA1" s="1321"/>
      <c r="GB1" s="1321"/>
      <c r="GC1" s="1321"/>
      <c r="GD1" s="1321"/>
      <c r="GE1" s="1321"/>
      <c r="GF1" s="1321"/>
      <c r="GG1" s="1321"/>
      <c r="GH1" s="1321"/>
      <c r="GI1" s="1321"/>
      <c r="GJ1" s="1321"/>
      <c r="GK1" s="1321"/>
      <c r="GL1" s="1321"/>
      <c r="GM1" s="1321"/>
      <c r="GN1" s="1321"/>
      <c r="GO1" s="1321"/>
      <c r="GP1" s="1321"/>
      <c r="GQ1" s="1321"/>
      <c r="GR1" s="1321"/>
      <c r="GS1" s="1321"/>
      <c r="GT1" s="1321"/>
      <c r="GU1" s="1321"/>
      <c r="GV1" s="1321"/>
      <c r="GW1" s="1321"/>
      <c r="GX1" s="1321"/>
      <c r="GY1" s="1321"/>
      <c r="GZ1" s="1321"/>
      <c r="HA1" s="1321"/>
      <c r="HB1" s="1321"/>
      <c r="HC1" s="1321"/>
      <c r="HD1" s="1321"/>
      <c r="HE1" s="1321"/>
      <c r="HF1" s="1321"/>
      <c r="HG1" s="1321"/>
      <c r="HH1" s="1321"/>
      <c r="HI1" s="1321"/>
      <c r="HJ1" s="1321"/>
      <c r="HK1" s="1321"/>
      <c r="HL1" s="1321"/>
      <c r="HM1" s="1321"/>
      <c r="HN1" s="1321"/>
      <c r="HO1" s="1321"/>
      <c r="HP1" s="1321"/>
      <c r="HQ1" s="1321"/>
      <c r="HR1" s="1321"/>
      <c r="HS1" s="1321"/>
      <c r="HT1" s="1321"/>
      <c r="HU1" s="1321"/>
      <c r="HV1" s="1321"/>
      <c r="HW1" s="1321"/>
      <c r="HX1" s="1321"/>
      <c r="HY1" s="1321"/>
      <c r="HZ1" s="1321"/>
      <c r="IA1" s="1321"/>
      <c r="IB1" s="1321"/>
      <c r="IC1" s="1321"/>
      <c r="ID1" s="1321"/>
      <c r="IE1" s="1321"/>
      <c r="IF1" s="1321"/>
      <c r="IG1" s="1321"/>
      <c r="IH1" s="1321"/>
      <c r="II1" s="1321"/>
      <c r="IJ1" s="1321"/>
      <c r="IK1" s="1321"/>
      <c r="IL1" s="1321"/>
      <c r="IM1" s="1321"/>
      <c r="IN1" s="1321"/>
      <c r="IO1" s="1321"/>
      <c r="IP1" s="1321"/>
      <c r="IQ1" s="1321"/>
      <c r="IR1" s="1321"/>
      <c r="IS1" s="1321"/>
      <c r="IT1" s="1321"/>
      <c r="IU1" s="1321"/>
      <c r="IV1" s="1321"/>
    </row>
    <row r="2" spans="1:256" ht="16.5" thickBot="1">
      <c r="A2" s="1346" t="s">
        <v>214</v>
      </c>
      <c r="B2" s="1347"/>
      <c r="C2" s="1641" t="s">
        <v>1262</v>
      </c>
      <c r="D2" s="164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1"/>
      <c r="V2" s="1321"/>
      <c r="W2" s="1321"/>
      <c r="X2" s="1321"/>
      <c r="Y2" s="1321"/>
      <c r="Z2" s="1321"/>
      <c r="AA2" s="1321"/>
      <c r="AB2" s="1321"/>
      <c r="AC2" s="1321"/>
      <c r="AD2" s="1321"/>
      <c r="AE2" s="1321"/>
      <c r="AF2" s="1321"/>
      <c r="AG2" s="1321"/>
      <c r="AH2" s="1321"/>
      <c r="AI2" s="1321"/>
      <c r="AJ2" s="1321"/>
      <c r="AK2" s="1321"/>
      <c r="AL2" s="1321"/>
      <c r="AM2" s="1321"/>
      <c r="AN2" s="1321"/>
      <c r="AO2" s="1321"/>
      <c r="AP2" s="1321"/>
      <c r="AQ2" s="1321"/>
      <c r="AR2" s="1321"/>
      <c r="AS2" s="1321"/>
      <c r="AT2" s="1321"/>
      <c r="AU2" s="1321"/>
      <c r="AV2" s="1321"/>
      <c r="AW2" s="1321"/>
      <c r="AX2" s="1321"/>
      <c r="AY2" s="1321"/>
      <c r="AZ2" s="1321"/>
      <c r="BA2" s="1321"/>
      <c r="BB2" s="1321"/>
      <c r="BC2" s="1321"/>
      <c r="BD2" s="1321"/>
      <c r="BE2" s="1321"/>
      <c r="BF2" s="1321"/>
      <c r="BG2" s="1321"/>
      <c r="BH2" s="1321"/>
      <c r="BI2" s="1321"/>
      <c r="BJ2" s="1321"/>
      <c r="BK2" s="1321"/>
      <c r="BL2" s="1321"/>
      <c r="BM2" s="1321"/>
      <c r="BN2" s="1321"/>
      <c r="BO2" s="1321"/>
      <c r="BP2" s="1321"/>
      <c r="BQ2" s="1321"/>
      <c r="BR2" s="1321"/>
      <c r="BS2" s="1321"/>
      <c r="BT2" s="1321"/>
      <c r="BU2" s="1321"/>
      <c r="BV2" s="1321"/>
      <c r="BW2" s="1321"/>
      <c r="BX2" s="1321"/>
      <c r="BY2" s="1321"/>
      <c r="BZ2" s="1321"/>
      <c r="CA2" s="1321"/>
      <c r="CB2" s="1321"/>
      <c r="CC2" s="1321"/>
      <c r="CD2" s="1321"/>
      <c r="CE2" s="1321"/>
      <c r="CF2" s="1321"/>
      <c r="CG2" s="1321"/>
      <c r="CH2" s="1321"/>
      <c r="CI2" s="1321"/>
      <c r="CJ2" s="1321"/>
      <c r="CK2" s="1321"/>
      <c r="CL2" s="1321"/>
      <c r="CM2" s="1321"/>
      <c r="CN2" s="1321"/>
      <c r="CO2" s="1321"/>
      <c r="CP2" s="1321"/>
      <c r="CQ2" s="1321"/>
      <c r="CR2" s="1321"/>
      <c r="CS2" s="1321"/>
      <c r="CT2" s="1321"/>
      <c r="CU2" s="1321"/>
      <c r="CV2" s="1321"/>
      <c r="CW2" s="1321"/>
      <c r="CX2" s="1321"/>
      <c r="CY2" s="1321"/>
      <c r="CZ2" s="1321"/>
      <c r="DA2" s="1321"/>
      <c r="DB2" s="1321"/>
      <c r="DC2" s="1321"/>
      <c r="DD2" s="1321"/>
      <c r="DE2" s="1321"/>
      <c r="DF2" s="1321"/>
      <c r="DG2" s="1321"/>
      <c r="DH2" s="1321"/>
      <c r="DI2" s="1321"/>
      <c r="DJ2" s="1321"/>
      <c r="DK2" s="1321"/>
      <c r="DL2" s="1321"/>
      <c r="DM2" s="1321"/>
      <c r="DN2" s="1321"/>
      <c r="DO2" s="1321"/>
      <c r="DP2" s="1321"/>
      <c r="DQ2" s="1321"/>
      <c r="DR2" s="1321"/>
      <c r="DS2" s="1321"/>
      <c r="DT2" s="1321"/>
      <c r="DU2" s="1321"/>
      <c r="DV2" s="1321"/>
      <c r="DW2" s="1321"/>
      <c r="DX2" s="1321"/>
      <c r="DY2" s="1321"/>
      <c r="DZ2" s="1321"/>
      <c r="EA2" s="1321"/>
      <c r="EB2" s="1321"/>
      <c r="EC2" s="1321"/>
      <c r="ED2" s="1321"/>
      <c r="EE2" s="1321"/>
      <c r="EF2" s="1321"/>
      <c r="EG2" s="1321"/>
      <c r="EH2" s="1321"/>
      <c r="EI2" s="1321"/>
      <c r="EJ2" s="1321"/>
      <c r="EK2" s="1321"/>
      <c r="EL2" s="1321"/>
      <c r="EM2" s="1321"/>
      <c r="EN2" s="1321"/>
      <c r="EO2" s="1321"/>
      <c r="EP2" s="1321"/>
      <c r="EQ2" s="1321"/>
      <c r="ER2" s="1321"/>
      <c r="ES2" s="1321"/>
      <c r="ET2" s="1321"/>
      <c r="EU2" s="1321"/>
      <c r="EV2" s="1321"/>
      <c r="EW2" s="1321"/>
      <c r="EX2" s="1321"/>
      <c r="EY2" s="1321"/>
      <c r="EZ2" s="1321"/>
      <c r="FA2" s="1321"/>
      <c r="FB2" s="1321"/>
      <c r="FC2" s="1321"/>
      <c r="FD2" s="1321"/>
      <c r="FE2" s="1321"/>
      <c r="FF2" s="1321"/>
      <c r="FG2" s="1321"/>
      <c r="FH2" s="1321"/>
      <c r="FI2" s="1321"/>
      <c r="FJ2" s="1321"/>
      <c r="FK2" s="1321"/>
      <c r="FL2" s="1321"/>
      <c r="FM2" s="1321"/>
      <c r="FN2" s="1321"/>
      <c r="FO2" s="1321"/>
      <c r="FP2" s="1321"/>
      <c r="FQ2" s="1321"/>
      <c r="FR2" s="1321"/>
      <c r="FS2" s="1321"/>
      <c r="FT2" s="1321"/>
      <c r="FU2" s="1321"/>
      <c r="FV2" s="1321"/>
      <c r="FW2" s="1321"/>
      <c r="FX2" s="1321"/>
      <c r="FY2" s="1321"/>
      <c r="FZ2" s="1321"/>
      <c r="GA2" s="1321"/>
      <c r="GB2" s="1321"/>
      <c r="GC2" s="1321"/>
      <c r="GD2" s="1321"/>
      <c r="GE2" s="1321"/>
      <c r="GF2" s="1321"/>
      <c r="GG2" s="1321"/>
      <c r="GH2" s="1321"/>
      <c r="GI2" s="1321"/>
      <c r="GJ2" s="1321"/>
      <c r="GK2" s="1321"/>
      <c r="GL2" s="1321"/>
      <c r="GM2" s="1321"/>
      <c r="GN2" s="1321"/>
      <c r="GO2" s="1321"/>
      <c r="GP2" s="1321"/>
      <c r="GQ2" s="1321"/>
      <c r="GR2" s="1321"/>
      <c r="GS2" s="1321"/>
      <c r="GT2" s="1321"/>
      <c r="GU2" s="1321"/>
      <c r="GV2" s="1321"/>
      <c r="GW2" s="1321"/>
      <c r="GX2" s="1321"/>
      <c r="GY2" s="1321"/>
      <c r="GZ2" s="1321"/>
      <c r="HA2" s="1321"/>
      <c r="HB2" s="1321"/>
      <c r="HC2" s="1321"/>
      <c r="HD2" s="1321"/>
      <c r="HE2" s="1321"/>
      <c r="HF2" s="1321"/>
      <c r="HG2" s="1321"/>
      <c r="HH2" s="1321"/>
      <c r="HI2" s="1321"/>
      <c r="HJ2" s="1321"/>
      <c r="HK2" s="1321"/>
      <c r="HL2" s="1321"/>
      <c r="HM2" s="1321"/>
      <c r="HN2" s="1321"/>
      <c r="HO2" s="1321"/>
      <c r="HP2" s="1321"/>
      <c r="HQ2" s="1321"/>
      <c r="HR2" s="1321"/>
      <c r="HS2" s="1321"/>
      <c r="HT2" s="1321"/>
      <c r="HU2" s="1321"/>
      <c r="HV2" s="1321"/>
      <c r="HW2" s="1321"/>
      <c r="HX2" s="1321"/>
      <c r="HY2" s="1321"/>
      <c r="HZ2" s="1321"/>
      <c r="IA2" s="1321"/>
      <c r="IB2" s="1321"/>
      <c r="IC2" s="1321"/>
      <c r="ID2" s="1321"/>
      <c r="IE2" s="1321"/>
      <c r="IF2" s="1321"/>
      <c r="IG2" s="1321"/>
      <c r="IH2" s="1321"/>
      <c r="II2" s="1321"/>
      <c r="IJ2" s="1321"/>
      <c r="IK2" s="1321"/>
      <c r="IL2" s="1321"/>
      <c r="IM2" s="1321"/>
      <c r="IN2" s="1321"/>
      <c r="IO2" s="1321"/>
      <c r="IP2" s="1321"/>
      <c r="IQ2" s="1321"/>
      <c r="IR2" s="1321"/>
      <c r="IS2" s="1321"/>
      <c r="IT2" s="1321"/>
      <c r="IU2" s="1321"/>
      <c r="IV2" s="1321"/>
    </row>
    <row r="3" spans="1:256" ht="15.75" customHeight="1" thickBot="1">
      <c r="A3" s="1642" t="s">
        <v>1263</v>
      </c>
      <c r="B3" s="1643" t="s">
        <v>6</v>
      </c>
      <c r="C3" s="1644" t="s">
        <v>1264</v>
      </c>
      <c r="D3" s="1644" t="s">
        <v>1265</v>
      </c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1"/>
      <c r="X3" s="1321"/>
      <c r="Y3" s="1321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1"/>
      <c r="AK3" s="1321"/>
      <c r="AL3" s="1321"/>
      <c r="AM3" s="1321"/>
      <c r="AN3" s="1321"/>
      <c r="AO3" s="1321"/>
      <c r="AP3" s="1321"/>
      <c r="AQ3" s="1321"/>
      <c r="AR3" s="1321"/>
      <c r="AS3" s="1321"/>
      <c r="AT3" s="1321"/>
      <c r="AU3" s="1321"/>
      <c r="AV3" s="1321"/>
      <c r="AW3" s="1321"/>
      <c r="AX3" s="1321"/>
      <c r="AY3" s="1321"/>
      <c r="AZ3" s="1321"/>
      <c r="BA3" s="1321"/>
      <c r="BB3" s="1321"/>
      <c r="BC3" s="1321"/>
      <c r="BD3" s="1321"/>
      <c r="BE3" s="1321"/>
      <c r="BF3" s="1321"/>
      <c r="BG3" s="1321"/>
      <c r="BH3" s="1321"/>
      <c r="BI3" s="1321"/>
      <c r="BJ3" s="1321"/>
      <c r="BK3" s="1321"/>
      <c r="BL3" s="1321"/>
      <c r="BM3" s="1321"/>
      <c r="BN3" s="1321"/>
      <c r="BO3" s="1321"/>
      <c r="BP3" s="1321"/>
      <c r="BQ3" s="1321"/>
      <c r="BR3" s="1321"/>
      <c r="BS3" s="1321"/>
      <c r="BT3" s="1321"/>
      <c r="BU3" s="1321"/>
      <c r="BV3" s="1321"/>
      <c r="BW3" s="1321"/>
      <c r="BX3" s="1321"/>
      <c r="BY3" s="1321"/>
      <c r="BZ3" s="1321"/>
      <c r="CA3" s="1321"/>
      <c r="CB3" s="1321"/>
      <c r="CC3" s="1321"/>
      <c r="CD3" s="1321"/>
      <c r="CE3" s="1321"/>
      <c r="CF3" s="1321"/>
      <c r="CG3" s="1321"/>
      <c r="CH3" s="1321"/>
      <c r="CI3" s="1321"/>
      <c r="CJ3" s="1321"/>
      <c r="CK3" s="1321"/>
      <c r="CL3" s="1321"/>
      <c r="CM3" s="1321"/>
      <c r="CN3" s="1321"/>
      <c r="CO3" s="1321"/>
      <c r="CP3" s="1321"/>
      <c r="CQ3" s="1321"/>
      <c r="CR3" s="1321"/>
      <c r="CS3" s="1321"/>
      <c r="CT3" s="1321"/>
      <c r="CU3" s="1321"/>
      <c r="CV3" s="1321"/>
      <c r="CW3" s="1321"/>
      <c r="CX3" s="1321"/>
      <c r="CY3" s="1321"/>
      <c r="CZ3" s="1321"/>
      <c r="DA3" s="1321"/>
      <c r="DB3" s="1321"/>
      <c r="DC3" s="1321"/>
      <c r="DD3" s="1321"/>
      <c r="DE3" s="1321"/>
      <c r="DF3" s="1321"/>
      <c r="DG3" s="1321"/>
      <c r="DH3" s="1321"/>
      <c r="DI3" s="1321"/>
      <c r="DJ3" s="1321"/>
      <c r="DK3" s="1321"/>
      <c r="DL3" s="1321"/>
      <c r="DM3" s="1321"/>
      <c r="DN3" s="1321"/>
      <c r="DO3" s="1321"/>
      <c r="DP3" s="1321"/>
      <c r="DQ3" s="1321"/>
      <c r="DR3" s="1321"/>
      <c r="DS3" s="1321"/>
      <c r="DT3" s="1321"/>
      <c r="DU3" s="1321"/>
      <c r="DV3" s="1321"/>
      <c r="DW3" s="1321"/>
      <c r="DX3" s="1321"/>
      <c r="DY3" s="1321"/>
      <c r="DZ3" s="1321"/>
      <c r="EA3" s="1321"/>
      <c r="EB3" s="1321"/>
      <c r="EC3" s="1321"/>
      <c r="ED3" s="1321"/>
      <c r="EE3" s="1321"/>
      <c r="EF3" s="1321"/>
      <c r="EG3" s="1321"/>
      <c r="EH3" s="1321"/>
      <c r="EI3" s="1321"/>
      <c r="EJ3" s="1321"/>
      <c r="EK3" s="1321"/>
      <c r="EL3" s="1321"/>
      <c r="EM3" s="1321"/>
      <c r="EN3" s="1321"/>
      <c r="EO3" s="1321"/>
      <c r="EP3" s="1321"/>
      <c r="EQ3" s="1321"/>
      <c r="ER3" s="1321"/>
      <c r="ES3" s="1321"/>
      <c r="ET3" s="1321"/>
      <c r="EU3" s="1321"/>
      <c r="EV3" s="1321"/>
      <c r="EW3" s="1321"/>
      <c r="EX3" s="1321"/>
      <c r="EY3" s="1321"/>
      <c r="EZ3" s="1321"/>
      <c r="FA3" s="1321"/>
      <c r="FB3" s="1321"/>
      <c r="FC3" s="1321"/>
      <c r="FD3" s="1321"/>
      <c r="FE3" s="1321"/>
      <c r="FF3" s="1321"/>
      <c r="FG3" s="1321"/>
      <c r="FH3" s="1321"/>
      <c r="FI3" s="1321"/>
      <c r="FJ3" s="1321"/>
      <c r="FK3" s="1321"/>
      <c r="FL3" s="1321"/>
      <c r="FM3" s="1321"/>
      <c r="FN3" s="1321"/>
      <c r="FO3" s="1321"/>
      <c r="FP3" s="1321"/>
      <c r="FQ3" s="1321"/>
      <c r="FR3" s="1321"/>
      <c r="FS3" s="1321"/>
      <c r="FT3" s="1321"/>
      <c r="FU3" s="1321"/>
      <c r="FV3" s="1321"/>
      <c r="FW3" s="1321"/>
      <c r="FX3" s="1321"/>
      <c r="FY3" s="1321"/>
      <c r="FZ3" s="1321"/>
      <c r="GA3" s="1321"/>
      <c r="GB3" s="1321"/>
      <c r="GC3" s="1321"/>
      <c r="GD3" s="1321"/>
      <c r="GE3" s="1321"/>
      <c r="GF3" s="1321"/>
      <c r="GG3" s="1321"/>
      <c r="GH3" s="1321"/>
      <c r="GI3" s="1321"/>
      <c r="GJ3" s="1321"/>
      <c r="GK3" s="1321"/>
      <c r="GL3" s="1321"/>
      <c r="GM3" s="1321"/>
      <c r="GN3" s="1321"/>
      <c r="GO3" s="1321"/>
      <c r="GP3" s="1321"/>
      <c r="GQ3" s="1321"/>
      <c r="GR3" s="1321"/>
      <c r="GS3" s="1321"/>
      <c r="GT3" s="1321"/>
      <c r="GU3" s="1321"/>
      <c r="GV3" s="1321"/>
      <c r="GW3" s="1321"/>
      <c r="GX3" s="1321"/>
      <c r="GY3" s="1321"/>
      <c r="GZ3" s="1321"/>
      <c r="HA3" s="1321"/>
      <c r="HB3" s="1321"/>
      <c r="HC3" s="1321"/>
      <c r="HD3" s="1321"/>
      <c r="HE3" s="1321"/>
      <c r="HF3" s="1321"/>
      <c r="HG3" s="1321"/>
      <c r="HH3" s="1321"/>
      <c r="HI3" s="1321"/>
      <c r="HJ3" s="1321"/>
      <c r="HK3" s="1321"/>
      <c r="HL3" s="1321"/>
      <c r="HM3" s="1321"/>
      <c r="HN3" s="1321"/>
      <c r="HO3" s="1321"/>
      <c r="HP3" s="1321"/>
      <c r="HQ3" s="1321"/>
      <c r="HR3" s="1321"/>
      <c r="HS3" s="1321"/>
      <c r="HT3" s="1321"/>
      <c r="HU3" s="1321"/>
      <c r="HV3" s="1321"/>
      <c r="HW3" s="1321"/>
      <c r="HX3" s="1321"/>
      <c r="HY3" s="1321"/>
      <c r="HZ3" s="1321"/>
      <c r="IA3" s="1321"/>
      <c r="IB3" s="1321"/>
      <c r="IC3" s="1321"/>
      <c r="ID3" s="1321"/>
      <c r="IE3" s="1321"/>
      <c r="IF3" s="1321"/>
      <c r="IG3" s="1321"/>
      <c r="IH3" s="1321"/>
      <c r="II3" s="1321"/>
      <c r="IJ3" s="1321"/>
      <c r="IK3" s="1321"/>
      <c r="IL3" s="1321"/>
      <c r="IM3" s="1321"/>
      <c r="IN3" s="1321"/>
      <c r="IO3" s="1321"/>
      <c r="IP3" s="1321"/>
      <c r="IQ3" s="1321"/>
      <c r="IR3" s="1321"/>
      <c r="IS3" s="1321"/>
      <c r="IT3" s="1321"/>
      <c r="IU3" s="1321"/>
      <c r="IV3" s="1321"/>
    </row>
    <row r="4" spans="1:256" ht="11.25" customHeight="1" thickBot="1">
      <c r="A4" s="1642"/>
      <c r="B4" s="1643"/>
      <c r="C4" s="1644"/>
      <c r="D4" s="1644"/>
      <c r="E4" s="1321"/>
      <c r="F4" s="1321"/>
      <c r="G4" s="1321"/>
      <c r="H4" s="1321"/>
      <c r="I4" s="1321"/>
      <c r="J4" s="1321"/>
      <c r="K4" s="1321"/>
      <c r="L4" s="1321"/>
      <c r="M4" s="1321"/>
      <c r="N4" s="1321"/>
      <c r="O4" s="1321"/>
      <c r="P4" s="1321"/>
      <c r="Q4" s="1321"/>
      <c r="R4" s="1321"/>
      <c r="S4" s="1321"/>
      <c r="T4" s="1321"/>
      <c r="U4" s="1321"/>
      <c r="V4" s="1321"/>
      <c r="W4" s="1321"/>
      <c r="X4" s="1321"/>
      <c r="Y4" s="1321"/>
      <c r="Z4" s="1321"/>
      <c r="AA4" s="1321"/>
      <c r="AB4" s="1321"/>
      <c r="AC4" s="1321"/>
      <c r="AD4" s="1321"/>
      <c r="AE4" s="1321"/>
      <c r="AF4" s="1321"/>
      <c r="AG4" s="1321"/>
      <c r="AH4" s="1321"/>
      <c r="AI4" s="1321"/>
      <c r="AJ4" s="1321"/>
      <c r="AK4" s="1321"/>
      <c r="AL4" s="1321"/>
      <c r="AM4" s="1321"/>
      <c r="AN4" s="1321"/>
      <c r="AO4" s="1321"/>
      <c r="AP4" s="1321"/>
      <c r="AQ4" s="1321"/>
      <c r="AR4" s="1321"/>
      <c r="AS4" s="1321"/>
      <c r="AT4" s="1321"/>
      <c r="AU4" s="1321"/>
      <c r="AV4" s="1321"/>
      <c r="AW4" s="1321"/>
      <c r="AX4" s="1321"/>
      <c r="AY4" s="1321"/>
      <c r="AZ4" s="1321"/>
      <c r="BA4" s="1321"/>
      <c r="BB4" s="1321"/>
      <c r="BC4" s="1321"/>
      <c r="BD4" s="1321"/>
      <c r="BE4" s="1321"/>
      <c r="BF4" s="1321"/>
      <c r="BG4" s="1321"/>
      <c r="BH4" s="1321"/>
      <c r="BI4" s="1321"/>
      <c r="BJ4" s="1321"/>
      <c r="BK4" s="1321"/>
      <c r="BL4" s="1321"/>
      <c r="BM4" s="1321"/>
      <c r="BN4" s="1321"/>
      <c r="BO4" s="1321"/>
      <c r="BP4" s="1321"/>
      <c r="BQ4" s="1321"/>
      <c r="BR4" s="1321"/>
      <c r="BS4" s="1321"/>
      <c r="BT4" s="1321"/>
      <c r="BU4" s="1321"/>
      <c r="BV4" s="1321"/>
      <c r="BW4" s="1321"/>
      <c r="BX4" s="1321"/>
      <c r="BY4" s="1321"/>
      <c r="BZ4" s="1321"/>
      <c r="CA4" s="1321"/>
      <c r="CB4" s="1321"/>
      <c r="CC4" s="1321"/>
      <c r="CD4" s="1321"/>
      <c r="CE4" s="1321"/>
      <c r="CF4" s="1321"/>
      <c r="CG4" s="1321"/>
      <c r="CH4" s="1321"/>
      <c r="CI4" s="1321"/>
      <c r="CJ4" s="1321"/>
      <c r="CK4" s="1321"/>
      <c r="CL4" s="1321"/>
      <c r="CM4" s="1321"/>
      <c r="CN4" s="1321"/>
      <c r="CO4" s="1321"/>
      <c r="CP4" s="1321"/>
      <c r="CQ4" s="1321"/>
      <c r="CR4" s="1321"/>
      <c r="CS4" s="1321"/>
      <c r="CT4" s="1321"/>
      <c r="CU4" s="1321"/>
      <c r="CV4" s="1321"/>
      <c r="CW4" s="1321"/>
      <c r="CX4" s="1321"/>
      <c r="CY4" s="1321"/>
      <c r="CZ4" s="1321"/>
      <c r="DA4" s="1321"/>
      <c r="DB4" s="1321"/>
      <c r="DC4" s="1321"/>
      <c r="DD4" s="1321"/>
      <c r="DE4" s="1321"/>
      <c r="DF4" s="1321"/>
      <c r="DG4" s="1321"/>
      <c r="DH4" s="1321"/>
      <c r="DI4" s="1321"/>
      <c r="DJ4" s="1321"/>
      <c r="DK4" s="1321"/>
      <c r="DL4" s="1321"/>
      <c r="DM4" s="1321"/>
      <c r="DN4" s="1321"/>
      <c r="DO4" s="1321"/>
      <c r="DP4" s="1321"/>
      <c r="DQ4" s="1321"/>
      <c r="DR4" s="1321"/>
      <c r="DS4" s="1321"/>
      <c r="DT4" s="1321"/>
      <c r="DU4" s="1321"/>
      <c r="DV4" s="1321"/>
      <c r="DW4" s="1321"/>
      <c r="DX4" s="1321"/>
      <c r="DY4" s="1321"/>
      <c r="DZ4" s="1321"/>
      <c r="EA4" s="1321"/>
      <c r="EB4" s="1321"/>
      <c r="EC4" s="1321"/>
      <c r="ED4" s="1321"/>
      <c r="EE4" s="1321"/>
      <c r="EF4" s="1321"/>
      <c r="EG4" s="1321"/>
      <c r="EH4" s="1321"/>
      <c r="EI4" s="1321"/>
      <c r="EJ4" s="1321"/>
      <c r="EK4" s="1321"/>
      <c r="EL4" s="1321"/>
      <c r="EM4" s="1321"/>
      <c r="EN4" s="1321"/>
      <c r="EO4" s="1321"/>
      <c r="EP4" s="1321"/>
      <c r="EQ4" s="1321"/>
      <c r="ER4" s="1321"/>
      <c r="ES4" s="1321"/>
      <c r="ET4" s="1321"/>
      <c r="EU4" s="1321"/>
      <c r="EV4" s="1321"/>
      <c r="EW4" s="1321"/>
      <c r="EX4" s="1321"/>
      <c r="EY4" s="1321"/>
      <c r="EZ4" s="1321"/>
      <c r="FA4" s="1321"/>
      <c r="FB4" s="1321"/>
      <c r="FC4" s="1321"/>
      <c r="FD4" s="1321"/>
      <c r="FE4" s="1321"/>
      <c r="FF4" s="1321"/>
      <c r="FG4" s="1321"/>
      <c r="FH4" s="1321"/>
      <c r="FI4" s="1321"/>
      <c r="FJ4" s="1321"/>
      <c r="FK4" s="1321"/>
      <c r="FL4" s="1321"/>
      <c r="FM4" s="1321"/>
      <c r="FN4" s="1321"/>
      <c r="FO4" s="1321"/>
      <c r="FP4" s="1321"/>
      <c r="FQ4" s="1321"/>
      <c r="FR4" s="1321"/>
      <c r="FS4" s="1321"/>
      <c r="FT4" s="1321"/>
      <c r="FU4" s="1321"/>
      <c r="FV4" s="1321"/>
      <c r="FW4" s="1321"/>
      <c r="FX4" s="1321"/>
      <c r="FY4" s="1321"/>
      <c r="FZ4" s="1321"/>
      <c r="GA4" s="1321"/>
      <c r="GB4" s="1321"/>
      <c r="GC4" s="1321"/>
      <c r="GD4" s="1321"/>
      <c r="GE4" s="1321"/>
      <c r="GF4" s="1321"/>
      <c r="GG4" s="1321"/>
      <c r="GH4" s="1321"/>
      <c r="GI4" s="1321"/>
      <c r="GJ4" s="1321"/>
      <c r="GK4" s="1321"/>
      <c r="GL4" s="1321"/>
      <c r="GM4" s="1321"/>
      <c r="GN4" s="1321"/>
      <c r="GO4" s="1321"/>
      <c r="GP4" s="1321"/>
      <c r="GQ4" s="1321"/>
      <c r="GR4" s="1321"/>
      <c r="GS4" s="1321"/>
      <c r="GT4" s="1321"/>
      <c r="GU4" s="1321"/>
      <c r="GV4" s="1321"/>
      <c r="GW4" s="1321"/>
      <c r="GX4" s="1321"/>
      <c r="GY4" s="1321"/>
      <c r="GZ4" s="1321"/>
      <c r="HA4" s="1321"/>
      <c r="HB4" s="1321"/>
      <c r="HC4" s="1321"/>
      <c r="HD4" s="1321"/>
      <c r="HE4" s="1321"/>
      <c r="HF4" s="1321"/>
      <c r="HG4" s="1321"/>
      <c r="HH4" s="1321"/>
      <c r="HI4" s="1321"/>
      <c r="HJ4" s="1321"/>
      <c r="HK4" s="1321"/>
      <c r="HL4" s="1321"/>
      <c r="HM4" s="1321"/>
      <c r="HN4" s="1321"/>
      <c r="HO4" s="1321"/>
      <c r="HP4" s="1321"/>
      <c r="HQ4" s="1321"/>
      <c r="HR4" s="1321"/>
      <c r="HS4" s="1321"/>
      <c r="HT4" s="1321"/>
      <c r="HU4" s="1321"/>
      <c r="HV4" s="1321"/>
      <c r="HW4" s="1321"/>
      <c r="HX4" s="1321"/>
      <c r="HY4" s="1321"/>
      <c r="HZ4" s="1321"/>
      <c r="IA4" s="1321"/>
      <c r="IB4" s="1321"/>
      <c r="IC4" s="1321"/>
      <c r="ID4" s="1321"/>
      <c r="IE4" s="1321"/>
      <c r="IF4" s="1321"/>
      <c r="IG4" s="1321"/>
      <c r="IH4" s="1321"/>
      <c r="II4" s="1321"/>
      <c r="IJ4" s="1321"/>
      <c r="IK4" s="1321"/>
      <c r="IL4" s="1321"/>
      <c r="IM4" s="1321"/>
      <c r="IN4" s="1321"/>
      <c r="IO4" s="1321"/>
      <c r="IP4" s="1321"/>
      <c r="IQ4" s="1321"/>
      <c r="IR4" s="1321"/>
      <c r="IS4" s="1321"/>
      <c r="IT4" s="1321"/>
      <c r="IU4" s="1321"/>
      <c r="IV4" s="1321"/>
    </row>
    <row r="5" spans="1:256" ht="12.75" customHeight="1">
      <c r="A5" s="1642"/>
      <c r="B5" s="1643"/>
      <c r="C5" s="1645" t="s">
        <v>1266</v>
      </c>
      <c r="D5" s="1645"/>
      <c r="E5" s="1321"/>
      <c r="F5" s="1321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1321"/>
      <c r="AK5" s="1321"/>
      <c r="AL5" s="1321"/>
      <c r="AM5" s="1321"/>
      <c r="AN5" s="1321"/>
      <c r="AO5" s="1321"/>
      <c r="AP5" s="1321"/>
      <c r="AQ5" s="1321"/>
      <c r="AR5" s="1321"/>
      <c r="AS5" s="1321"/>
      <c r="AT5" s="1321"/>
      <c r="AU5" s="1321"/>
      <c r="AV5" s="1321"/>
      <c r="AW5" s="1321"/>
      <c r="AX5" s="1321"/>
      <c r="AY5" s="1321"/>
      <c r="AZ5" s="1321"/>
      <c r="BA5" s="1321"/>
      <c r="BB5" s="1321"/>
      <c r="BC5" s="1321"/>
      <c r="BD5" s="1321"/>
      <c r="BE5" s="1321"/>
      <c r="BF5" s="1321"/>
      <c r="BG5" s="1321"/>
      <c r="BH5" s="1321"/>
      <c r="BI5" s="1321"/>
      <c r="BJ5" s="1321"/>
      <c r="BK5" s="1321"/>
      <c r="BL5" s="1321"/>
      <c r="BM5" s="1321"/>
      <c r="BN5" s="1321"/>
      <c r="BO5" s="1321"/>
      <c r="BP5" s="1321"/>
      <c r="BQ5" s="1321"/>
      <c r="BR5" s="1321"/>
      <c r="BS5" s="1321"/>
      <c r="BT5" s="1321"/>
      <c r="BU5" s="1321"/>
      <c r="BV5" s="1321"/>
      <c r="BW5" s="1321"/>
      <c r="BX5" s="1321"/>
      <c r="BY5" s="1321"/>
      <c r="BZ5" s="1321"/>
      <c r="CA5" s="1321"/>
      <c r="CB5" s="1321"/>
      <c r="CC5" s="1321"/>
      <c r="CD5" s="1321"/>
      <c r="CE5" s="1321"/>
      <c r="CF5" s="1321"/>
      <c r="CG5" s="1321"/>
      <c r="CH5" s="1321"/>
      <c r="CI5" s="1321"/>
      <c r="CJ5" s="1321"/>
      <c r="CK5" s="1321"/>
      <c r="CL5" s="1321"/>
      <c r="CM5" s="1321"/>
      <c r="CN5" s="1321"/>
      <c r="CO5" s="1321"/>
      <c r="CP5" s="1321"/>
      <c r="CQ5" s="1321"/>
      <c r="CR5" s="1321"/>
      <c r="CS5" s="1321"/>
      <c r="CT5" s="1321"/>
      <c r="CU5" s="1321"/>
      <c r="CV5" s="1321"/>
      <c r="CW5" s="1321"/>
      <c r="CX5" s="1321"/>
      <c r="CY5" s="1321"/>
      <c r="CZ5" s="1321"/>
      <c r="DA5" s="1321"/>
      <c r="DB5" s="1321"/>
      <c r="DC5" s="1321"/>
      <c r="DD5" s="1321"/>
      <c r="DE5" s="1321"/>
      <c r="DF5" s="1321"/>
      <c r="DG5" s="1321"/>
      <c r="DH5" s="1321"/>
      <c r="DI5" s="1321"/>
      <c r="DJ5" s="1321"/>
      <c r="DK5" s="1321"/>
      <c r="DL5" s="1321"/>
      <c r="DM5" s="1321"/>
      <c r="DN5" s="1321"/>
      <c r="DO5" s="1321"/>
      <c r="DP5" s="1321"/>
      <c r="DQ5" s="1321"/>
      <c r="DR5" s="1321"/>
      <c r="DS5" s="1321"/>
      <c r="DT5" s="1321"/>
      <c r="DU5" s="1321"/>
      <c r="DV5" s="1321"/>
      <c r="DW5" s="1321"/>
      <c r="DX5" s="1321"/>
      <c r="DY5" s="1321"/>
      <c r="DZ5" s="1321"/>
      <c r="EA5" s="1321"/>
      <c r="EB5" s="1321"/>
      <c r="EC5" s="1321"/>
      <c r="ED5" s="1321"/>
      <c r="EE5" s="1321"/>
      <c r="EF5" s="1321"/>
      <c r="EG5" s="1321"/>
      <c r="EH5" s="1321"/>
      <c r="EI5" s="1321"/>
      <c r="EJ5" s="1321"/>
      <c r="EK5" s="1321"/>
      <c r="EL5" s="1321"/>
      <c r="EM5" s="1321"/>
      <c r="EN5" s="1321"/>
      <c r="EO5" s="1321"/>
      <c r="EP5" s="1321"/>
      <c r="EQ5" s="1321"/>
      <c r="ER5" s="1321"/>
      <c r="ES5" s="1321"/>
      <c r="ET5" s="1321"/>
      <c r="EU5" s="1321"/>
      <c r="EV5" s="1321"/>
      <c r="EW5" s="1321"/>
      <c r="EX5" s="1321"/>
      <c r="EY5" s="1321"/>
      <c r="EZ5" s="1321"/>
      <c r="FA5" s="1321"/>
      <c r="FB5" s="1321"/>
      <c r="FC5" s="1321"/>
      <c r="FD5" s="1321"/>
      <c r="FE5" s="1321"/>
      <c r="FF5" s="1321"/>
      <c r="FG5" s="1321"/>
      <c r="FH5" s="1321"/>
      <c r="FI5" s="1321"/>
      <c r="FJ5" s="1321"/>
      <c r="FK5" s="1321"/>
      <c r="FL5" s="1321"/>
      <c r="FM5" s="1321"/>
      <c r="FN5" s="1321"/>
      <c r="FO5" s="1321"/>
      <c r="FP5" s="1321"/>
      <c r="FQ5" s="1321"/>
      <c r="FR5" s="1321"/>
      <c r="FS5" s="1321"/>
      <c r="FT5" s="1321"/>
      <c r="FU5" s="1321"/>
      <c r="FV5" s="1321"/>
      <c r="FW5" s="1321"/>
      <c r="FX5" s="1321"/>
      <c r="FY5" s="1321"/>
      <c r="FZ5" s="1321"/>
      <c r="GA5" s="1321"/>
      <c r="GB5" s="1321"/>
      <c r="GC5" s="1321"/>
      <c r="GD5" s="1321"/>
      <c r="GE5" s="1321"/>
      <c r="GF5" s="1321"/>
      <c r="GG5" s="1321"/>
      <c r="GH5" s="1321"/>
      <c r="GI5" s="1321"/>
      <c r="GJ5" s="1321"/>
      <c r="GK5" s="1321"/>
      <c r="GL5" s="1321"/>
      <c r="GM5" s="1321"/>
      <c r="GN5" s="1321"/>
      <c r="GO5" s="1321"/>
      <c r="GP5" s="1321"/>
      <c r="GQ5" s="1321"/>
      <c r="GR5" s="1321"/>
      <c r="GS5" s="1321"/>
      <c r="GT5" s="1321"/>
      <c r="GU5" s="1321"/>
      <c r="GV5" s="1321"/>
      <c r="GW5" s="1321"/>
      <c r="GX5" s="1321"/>
      <c r="GY5" s="1321"/>
      <c r="GZ5" s="1321"/>
      <c r="HA5" s="1321"/>
      <c r="HB5" s="1321"/>
      <c r="HC5" s="1321"/>
      <c r="HD5" s="1321"/>
      <c r="HE5" s="1321"/>
      <c r="HF5" s="1321"/>
      <c r="HG5" s="1321"/>
      <c r="HH5" s="1321"/>
      <c r="HI5" s="1321"/>
      <c r="HJ5" s="1321"/>
      <c r="HK5" s="1321"/>
      <c r="HL5" s="1321"/>
      <c r="HM5" s="1321"/>
      <c r="HN5" s="1321"/>
      <c r="HO5" s="1321"/>
      <c r="HP5" s="1321"/>
      <c r="HQ5" s="1321"/>
      <c r="HR5" s="1321"/>
      <c r="HS5" s="1321"/>
      <c r="HT5" s="1321"/>
      <c r="HU5" s="1321"/>
      <c r="HV5" s="1321"/>
      <c r="HW5" s="1321"/>
      <c r="HX5" s="1321"/>
      <c r="HY5" s="1321"/>
      <c r="HZ5" s="1321"/>
      <c r="IA5" s="1321"/>
      <c r="IB5" s="1321"/>
      <c r="IC5" s="1321"/>
      <c r="ID5" s="1321"/>
      <c r="IE5" s="1321"/>
      <c r="IF5" s="1321"/>
      <c r="IG5" s="1321"/>
      <c r="IH5" s="1321"/>
      <c r="II5" s="1321"/>
      <c r="IJ5" s="1321"/>
      <c r="IK5" s="1321"/>
      <c r="IL5" s="1321"/>
      <c r="IM5" s="1321"/>
      <c r="IN5" s="1321"/>
      <c r="IO5" s="1321"/>
      <c r="IP5" s="1321"/>
      <c r="IQ5" s="1321"/>
      <c r="IR5" s="1321"/>
      <c r="IS5" s="1321"/>
      <c r="IT5" s="1321"/>
      <c r="IU5" s="1321"/>
      <c r="IV5" s="1321"/>
    </row>
    <row r="6" spans="1:4" s="1326" customFormat="1" ht="16.5" thickBot="1">
      <c r="A6" s="1348" t="s">
        <v>1267</v>
      </c>
      <c r="B6" s="1349" t="s">
        <v>15</v>
      </c>
      <c r="C6" s="1349" t="s">
        <v>688</v>
      </c>
      <c r="D6" s="1349" t="s">
        <v>689</v>
      </c>
    </row>
    <row r="7" spans="1:4" s="1330" customFormat="1" ht="15.75">
      <c r="A7" s="1350" t="s">
        <v>1268</v>
      </c>
      <c r="B7" s="1351" t="s">
        <v>1269</v>
      </c>
      <c r="C7" s="1352">
        <f>SUM(C8:C11)</f>
        <v>545525</v>
      </c>
      <c r="D7" s="1352">
        <v>0</v>
      </c>
    </row>
    <row r="8" spans="1:4" s="1330" customFormat="1" ht="15.75">
      <c r="A8" s="1353" t="s">
        <v>1270</v>
      </c>
      <c r="B8" s="1354" t="s">
        <v>1271</v>
      </c>
      <c r="C8" s="1355"/>
      <c r="D8" s="1355"/>
    </row>
    <row r="9" spans="1:4" s="1330" customFormat="1" ht="47.25">
      <c r="A9" s="1353" t="s">
        <v>1272</v>
      </c>
      <c r="B9" s="1354" t="s">
        <v>1273</v>
      </c>
      <c r="C9" s="1355"/>
      <c r="D9" s="1355"/>
    </row>
    <row r="10" spans="1:4" s="1330" customFormat="1" ht="15.75">
      <c r="A10" s="1353" t="s">
        <v>1274</v>
      </c>
      <c r="B10" s="1354" t="s">
        <v>1275</v>
      </c>
      <c r="C10" s="1355">
        <v>298500</v>
      </c>
      <c r="D10" s="1355"/>
    </row>
    <row r="11" spans="1:4" s="1330" customFormat="1" ht="15.75">
      <c r="A11" s="1353" t="s">
        <v>1276</v>
      </c>
      <c r="B11" s="1354" t="s">
        <v>1277</v>
      </c>
      <c r="C11" s="1355">
        <v>247025</v>
      </c>
      <c r="D11" s="1355"/>
    </row>
    <row r="12" spans="1:4" s="1330" customFormat="1" ht="15.75">
      <c r="A12" s="1356" t="s">
        <v>1278</v>
      </c>
      <c r="B12" s="1357" t="s">
        <v>1279</v>
      </c>
      <c r="C12" s="1358">
        <f>SUM(C13+C18+C23+C28+C33)</f>
        <v>34224255</v>
      </c>
      <c r="D12" s="1358">
        <f>SUM(D13+D18+D23+D28+D33)</f>
        <v>1213325</v>
      </c>
    </row>
    <row r="13" spans="1:4" s="1330" customFormat="1" ht="31.5">
      <c r="A13" s="1356" t="s">
        <v>1280</v>
      </c>
      <c r="B13" s="1357" t="s">
        <v>1281</v>
      </c>
      <c r="C13" s="1358">
        <f>SUM(C14:C17)</f>
        <v>0</v>
      </c>
      <c r="D13" s="1358">
        <f>SUM(D14:D17)</f>
        <v>0</v>
      </c>
    </row>
    <row r="14" spans="1:4" s="1330" customFormat="1" ht="31.5">
      <c r="A14" s="1353" t="s">
        <v>1282</v>
      </c>
      <c r="B14" s="1354" t="s">
        <v>1283</v>
      </c>
      <c r="C14" s="1355"/>
      <c r="D14" s="1355"/>
    </row>
    <row r="15" spans="1:4" s="1330" customFormat="1" ht="45.75" customHeight="1">
      <c r="A15" s="1353" t="s">
        <v>1284</v>
      </c>
      <c r="B15" s="1354" t="s">
        <v>1285</v>
      </c>
      <c r="C15" s="1355"/>
      <c r="D15" s="1355"/>
    </row>
    <row r="16" spans="1:4" s="1330" customFormat="1" ht="31.5">
      <c r="A16" s="1353" t="s">
        <v>1286</v>
      </c>
      <c r="B16" s="1354" t="s">
        <v>405</v>
      </c>
      <c r="C16" s="1355"/>
      <c r="D16" s="1355"/>
    </row>
    <row r="17" spans="1:4" s="1330" customFormat="1" ht="15.75">
      <c r="A17" s="1353" t="s">
        <v>1287</v>
      </c>
      <c r="B17" s="1354" t="s">
        <v>407</v>
      </c>
      <c r="C17" s="1355"/>
      <c r="D17" s="1355"/>
    </row>
    <row r="18" spans="1:4" s="1330" customFormat="1" ht="31.5">
      <c r="A18" s="1356" t="s">
        <v>1288</v>
      </c>
      <c r="B18" s="1357" t="s">
        <v>408</v>
      </c>
      <c r="C18" s="1359">
        <f>SUM(C19:C22)</f>
        <v>34224255</v>
      </c>
      <c r="D18" s="1359">
        <f>SUM(D19:D22)</f>
        <v>1213325</v>
      </c>
    </row>
    <row r="19" spans="1:4" s="1330" customFormat="1" ht="31.5">
      <c r="A19" s="1353" t="s">
        <v>1289</v>
      </c>
      <c r="B19" s="1354" t="s">
        <v>409</v>
      </c>
      <c r="C19" s="1355"/>
      <c r="D19" s="1355"/>
    </row>
    <row r="20" spans="1:4" s="1330" customFormat="1" ht="47.25">
      <c r="A20" s="1353" t="s">
        <v>1290</v>
      </c>
      <c r="B20" s="1354" t="s">
        <v>410</v>
      </c>
      <c r="C20" s="1355"/>
      <c r="D20" s="1355"/>
    </row>
    <row r="21" spans="1:4" s="1330" customFormat="1" ht="31.5">
      <c r="A21" s="1353" t="s">
        <v>1291</v>
      </c>
      <c r="B21" s="1354" t="s">
        <v>411</v>
      </c>
      <c r="C21" s="1355"/>
      <c r="D21" s="1355"/>
    </row>
    <row r="22" spans="1:4" s="1330" customFormat="1" ht="15.75">
      <c r="A22" s="1353" t="s">
        <v>1292</v>
      </c>
      <c r="B22" s="1354" t="s">
        <v>708</v>
      </c>
      <c r="C22" s="1355">
        <v>34224255</v>
      </c>
      <c r="D22" s="1355">
        <v>1213325</v>
      </c>
    </row>
    <row r="23" spans="1:4" s="1330" customFormat="1" ht="15.75">
      <c r="A23" s="1356" t="s">
        <v>1293</v>
      </c>
      <c r="B23" s="1357" t="s">
        <v>710</v>
      </c>
      <c r="C23" s="1360"/>
      <c r="D23" s="1360"/>
    </row>
    <row r="24" spans="1:4" s="1330" customFormat="1" ht="15.75">
      <c r="A24" s="1353" t="s">
        <v>1294</v>
      </c>
      <c r="B24" s="1354" t="s">
        <v>712</v>
      </c>
      <c r="C24" s="1355"/>
      <c r="D24" s="1355"/>
    </row>
    <row r="25" spans="1:4" s="1330" customFormat="1" ht="31.5">
      <c r="A25" s="1353" t="s">
        <v>1295</v>
      </c>
      <c r="B25" s="1354" t="s">
        <v>714</v>
      </c>
      <c r="C25" s="1355"/>
      <c r="D25" s="1355"/>
    </row>
    <row r="26" spans="1:4" s="1330" customFormat="1" ht="15.75">
      <c r="A26" s="1353" t="s">
        <v>1296</v>
      </c>
      <c r="B26" s="1354" t="s">
        <v>715</v>
      </c>
      <c r="C26" s="1355"/>
      <c r="D26" s="1355"/>
    </row>
    <row r="27" spans="1:4" s="1330" customFormat="1" ht="15.75">
      <c r="A27" s="1353" t="s">
        <v>1297</v>
      </c>
      <c r="B27" s="1354" t="s">
        <v>1298</v>
      </c>
      <c r="C27" s="1355"/>
      <c r="D27" s="1355"/>
    </row>
    <row r="28" spans="1:4" s="1330" customFormat="1" ht="15.75">
      <c r="A28" s="1356" t="s">
        <v>1299</v>
      </c>
      <c r="B28" s="1357" t="s">
        <v>1300</v>
      </c>
      <c r="C28" s="1359">
        <f>SUM(C29:C32)</f>
        <v>0</v>
      </c>
      <c r="D28" s="1359">
        <f>SUM(D29:D32)</f>
        <v>0</v>
      </c>
    </row>
    <row r="29" spans="1:4" s="1330" customFormat="1" ht="15.75">
      <c r="A29" s="1353" t="s">
        <v>1301</v>
      </c>
      <c r="B29" s="1354" t="s">
        <v>1302</v>
      </c>
      <c r="C29" s="1355"/>
      <c r="D29" s="1355"/>
    </row>
    <row r="30" spans="1:4" s="1330" customFormat="1" ht="31.5">
      <c r="A30" s="1353" t="s">
        <v>1303</v>
      </c>
      <c r="B30" s="1354" t="s">
        <v>1304</v>
      </c>
      <c r="C30" s="1355"/>
      <c r="D30" s="1355"/>
    </row>
    <row r="31" spans="1:4" s="1330" customFormat="1" ht="15.75">
      <c r="A31" s="1353" t="s">
        <v>1305</v>
      </c>
      <c r="B31" s="1354" t="s">
        <v>1306</v>
      </c>
      <c r="C31" s="1355"/>
      <c r="D31" s="1355"/>
    </row>
    <row r="32" spans="1:4" s="1330" customFormat="1" ht="15.75">
      <c r="A32" s="1353" t="s">
        <v>1307</v>
      </c>
      <c r="B32" s="1354" t="s">
        <v>1308</v>
      </c>
      <c r="C32" s="1355"/>
      <c r="D32" s="1355"/>
    </row>
    <row r="33" spans="1:4" s="1330" customFormat="1" ht="15.75">
      <c r="A33" s="1356" t="s">
        <v>1309</v>
      </c>
      <c r="B33" s="1357" t="s">
        <v>1310</v>
      </c>
      <c r="C33" s="1360"/>
      <c r="D33" s="1360"/>
    </row>
    <row r="34" spans="1:4" s="1330" customFormat="1" ht="15.75">
      <c r="A34" s="1353" t="s">
        <v>1311</v>
      </c>
      <c r="B34" s="1354" t="s">
        <v>1312</v>
      </c>
      <c r="C34" s="1355"/>
      <c r="D34" s="1355"/>
    </row>
    <row r="35" spans="1:4" s="1330" customFormat="1" ht="47.25">
      <c r="A35" s="1353" t="s">
        <v>1313</v>
      </c>
      <c r="B35" s="1354" t="s">
        <v>1314</v>
      </c>
      <c r="C35" s="1355"/>
      <c r="D35" s="1355"/>
    </row>
    <row r="36" spans="1:4" s="1330" customFormat="1" ht="31.5">
      <c r="A36" s="1353" t="s">
        <v>1315</v>
      </c>
      <c r="B36" s="1354" t="s">
        <v>1316</v>
      </c>
      <c r="C36" s="1355"/>
      <c r="D36" s="1355"/>
    </row>
    <row r="37" spans="1:4" s="1330" customFormat="1" ht="15.75">
      <c r="A37" s="1353" t="s">
        <v>1317</v>
      </c>
      <c r="B37" s="1354" t="s">
        <v>1318</v>
      </c>
      <c r="C37" s="1355"/>
      <c r="D37" s="1355"/>
    </row>
    <row r="38" spans="1:4" s="1330" customFormat="1" ht="15.75">
      <c r="A38" s="1356" t="s">
        <v>1319</v>
      </c>
      <c r="B38" s="1357" t="s">
        <v>1320</v>
      </c>
      <c r="C38" s="1359">
        <f>SUM(C39+C44+C49)</f>
        <v>0</v>
      </c>
      <c r="D38" s="1359">
        <f>SUM(D39+D44+D49)</f>
        <v>0</v>
      </c>
    </row>
    <row r="39" spans="1:4" s="1330" customFormat="1" ht="15.75">
      <c r="A39" s="1356" t="s">
        <v>1321</v>
      </c>
      <c r="B39" s="1357" t="s">
        <v>1322</v>
      </c>
      <c r="C39" s="1359">
        <f>SUM(C40:C43)</f>
        <v>0</v>
      </c>
      <c r="D39" s="1359">
        <f>SUM(D40:D43)</f>
        <v>0</v>
      </c>
    </row>
    <row r="40" spans="1:4" s="1330" customFormat="1" ht="15.75">
      <c r="A40" s="1353" t="s">
        <v>1323</v>
      </c>
      <c r="B40" s="1354" t="s">
        <v>1324</v>
      </c>
      <c r="C40" s="1355"/>
      <c r="D40" s="1355"/>
    </row>
    <row r="41" spans="1:4" s="1330" customFormat="1" ht="31.5">
      <c r="A41" s="1353" t="s">
        <v>1325</v>
      </c>
      <c r="B41" s="1354" t="s">
        <v>1326</v>
      </c>
      <c r="C41" s="1355"/>
      <c r="D41" s="1355"/>
    </row>
    <row r="42" spans="1:4" s="1330" customFormat="1" ht="15.75">
      <c r="A42" s="1353" t="s">
        <v>1327</v>
      </c>
      <c r="B42" s="1354" t="s">
        <v>1328</v>
      </c>
      <c r="C42" s="1355"/>
      <c r="D42" s="1355"/>
    </row>
    <row r="43" spans="1:4" s="1330" customFormat="1" ht="15.75">
      <c r="A43" s="1353" t="s">
        <v>1329</v>
      </c>
      <c r="B43" s="1354" t="s">
        <v>1330</v>
      </c>
      <c r="C43" s="1355"/>
      <c r="D43" s="1355"/>
    </row>
    <row r="44" spans="1:4" s="1330" customFormat="1" ht="31.5">
      <c r="A44" s="1356" t="s">
        <v>1331</v>
      </c>
      <c r="B44" s="1357" t="s">
        <v>1332</v>
      </c>
      <c r="C44" s="1360"/>
      <c r="D44" s="1360"/>
    </row>
    <row r="45" spans="1:4" s="1330" customFormat="1" ht="31.5">
      <c r="A45" s="1353" t="s">
        <v>1333</v>
      </c>
      <c r="B45" s="1354" t="s">
        <v>1334</v>
      </c>
      <c r="C45" s="1355"/>
      <c r="D45" s="1355"/>
    </row>
    <row r="46" spans="1:4" s="1330" customFormat="1" ht="47.25">
      <c r="A46" s="1353" t="s">
        <v>1335</v>
      </c>
      <c r="B46" s="1354" t="s">
        <v>1336</v>
      </c>
      <c r="C46" s="1355"/>
      <c r="D46" s="1355"/>
    </row>
    <row r="47" spans="1:4" s="1330" customFormat="1" ht="31.5">
      <c r="A47" s="1353" t="s">
        <v>1337</v>
      </c>
      <c r="B47" s="1354" t="s">
        <v>1338</v>
      </c>
      <c r="C47" s="1355"/>
      <c r="D47" s="1355"/>
    </row>
    <row r="48" spans="1:4" s="1330" customFormat="1" ht="15.75">
      <c r="A48" s="1353" t="s">
        <v>1339</v>
      </c>
      <c r="B48" s="1354" t="s">
        <v>1340</v>
      </c>
      <c r="C48" s="1355"/>
      <c r="D48" s="1355"/>
    </row>
    <row r="49" spans="1:4" s="1330" customFormat="1" ht="31.5">
      <c r="A49" s="1356" t="s">
        <v>1341</v>
      </c>
      <c r="B49" s="1357" t="s">
        <v>1342</v>
      </c>
      <c r="C49" s="1360"/>
      <c r="D49" s="1360"/>
    </row>
    <row r="50" spans="1:4" s="1330" customFormat="1" ht="31.5">
      <c r="A50" s="1353" t="s">
        <v>1343</v>
      </c>
      <c r="B50" s="1354" t="s">
        <v>1344</v>
      </c>
      <c r="C50" s="1355"/>
      <c r="D50" s="1355"/>
    </row>
    <row r="51" spans="1:4" s="1330" customFormat="1" ht="47.25">
      <c r="A51" s="1353" t="s">
        <v>1345</v>
      </c>
      <c r="B51" s="1354" t="s">
        <v>1346</v>
      </c>
      <c r="C51" s="1355"/>
      <c r="D51" s="1355"/>
    </row>
    <row r="52" spans="1:4" s="1330" customFormat="1" ht="31.5">
      <c r="A52" s="1353" t="s">
        <v>1347</v>
      </c>
      <c r="B52" s="1354" t="s">
        <v>1348</v>
      </c>
      <c r="C52" s="1355"/>
      <c r="D52" s="1355"/>
    </row>
    <row r="53" spans="1:4" s="1330" customFormat="1" ht="15.75">
      <c r="A53" s="1353" t="s">
        <v>1349</v>
      </c>
      <c r="B53" s="1354" t="s">
        <v>1350</v>
      </c>
      <c r="C53" s="1355"/>
      <c r="D53" s="1355"/>
    </row>
    <row r="54" spans="1:4" s="1330" customFormat="1" ht="15.75">
      <c r="A54" s="1356" t="s">
        <v>1351</v>
      </c>
      <c r="B54" s="1354" t="s">
        <v>1352</v>
      </c>
      <c r="C54" s="1355"/>
      <c r="D54" s="1355"/>
    </row>
    <row r="55" spans="1:4" ht="47.25">
      <c r="A55" s="1356" t="s">
        <v>1353</v>
      </c>
      <c r="B55" s="1357" t="s">
        <v>1354</v>
      </c>
      <c r="C55" s="1359">
        <f>SUM(C7+C12+C38+C54)</f>
        <v>34769780</v>
      </c>
      <c r="D55" s="1359">
        <f>SUM(D7+D12+D38+D54)</f>
        <v>1213325</v>
      </c>
    </row>
    <row r="56" spans="1:4" ht="15.75">
      <c r="A56" s="1356" t="s">
        <v>1355</v>
      </c>
      <c r="B56" s="1354" t="s">
        <v>1356</v>
      </c>
      <c r="C56" s="1361">
        <v>489987</v>
      </c>
      <c r="D56" s="1361">
        <v>489987</v>
      </c>
    </row>
    <row r="57" spans="1:4" ht="15.75">
      <c r="A57" s="1356" t="s">
        <v>1357</v>
      </c>
      <c r="B57" s="1354" t="s">
        <v>1358</v>
      </c>
      <c r="C57" s="1355"/>
      <c r="D57" s="1355"/>
    </row>
    <row r="58" spans="1:4" ht="31.5">
      <c r="A58" s="1356" t="s">
        <v>1359</v>
      </c>
      <c r="B58" s="1357" t="s">
        <v>1360</v>
      </c>
      <c r="C58" s="1359"/>
      <c r="D58" s="1359"/>
    </row>
    <row r="59" spans="1:4" ht="15.75">
      <c r="A59" s="1356" t="s">
        <v>1361</v>
      </c>
      <c r="B59" s="1354" t="s">
        <v>1362</v>
      </c>
      <c r="C59" s="1362"/>
      <c r="D59" s="1361"/>
    </row>
    <row r="60" spans="1:4" ht="15.75">
      <c r="A60" s="1356" t="s">
        <v>1363</v>
      </c>
      <c r="B60" s="1354" t="s">
        <v>1364</v>
      </c>
      <c r="C60" s="1362"/>
      <c r="D60" s="1361"/>
    </row>
    <row r="61" spans="1:4" ht="15.75">
      <c r="A61" s="1356" t="s">
        <v>1365</v>
      </c>
      <c r="B61" s="1354" t="s">
        <v>1366</v>
      </c>
      <c r="C61" s="1362"/>
      <c r="D61" s="1361">
        <v>1473161</v>
      </c>
    </row>
    <row r="62" spans="1:4" ht="15.75">
      <c r="A62" s="1356" t="s">
        <v>1367</v>
      </c>
      <c r="B62" s="1354" t="s">
        <v>1368</v>
      </c>
      <c r="C62" s="1362"/>
      <c r="D62" s="1361"/>
    </row>
    <row r="63" spans="1:4" ht="15.75">
      <c r="A63" s="1356" t="s">
        <v>1369</v>
      </c>
      <c r="B63" s="1354" t="s">
        <v>1370</v>
      </c>
      <c r="C63" s="1362"/>
      <c r="D63" s="1361"/>
    </row>
    <row r="64" spans="1:4" ht="15.75">
      <c r="A64" s="1356" t="s">
        <v>1371</v>
      </c>
      <c r="B64" s="1357" t="s">
        <v>1372</v>
      </c>
      <c r="C64" s="1363"/>
      <c r="D64" s="1359">
        <f>SUM(D59:D63)</f>
        <v>1473161</v>
      </c>
    </row>
    <row r="65" spans="1:4" ht="15.75">
      <c r="A65" s="1356" t="s">
        <v>1373</v>
      </c>
      <c r="B65" s="1354" t="s">
        <v>1374</v>
      </c>
      <c r="C65" s="1362"/>
      <c r="D65" s="1361">
        <v>58518</v>
      </c>
    </row>
    <row r="66" spans="1:4" ht="15.75">
      <c r="A66" s="1356" t="s">
        <v>1375</v>
      </c>
      <c r="B66" s="1354" t="s">
        <v>1376</v>
      </c>
      <c r="C66" s="1362"/>
      <c r="D66" s="1361"/>
    </row>
    <row r="67" spans="1:4" ht="15.75">
      <c r="A67" s="1356" t="s">
        <v>1377</v>
      </c>
      <c r="B67" s="1354" t="s">
        <v>1378</v>
      </c>
      <c r="C67" s="1362"/>
      <c r="D67" s="1361">
        <v>2231401</v>
      </c>
    </row>
    <row r="68" spans="1:4" ht="15.75">
      <c r="A68" s="1356" t="s">
        <v>1379</v>
      </c>
      <c r="B68" s="1357" t="s">
        <v>1380</v>
      </c>
      <c r="C68" s="1363"/>
      <c r="D68" s="1359">
        <f>SUM(D65:D67)</f>
        <v>2289919</v>
      </c>
    </row>
    <row r="69" spans="1:4" ht="15.75">
      <c r="A69" s="1356" t="s">
        <v>1381</v>
      </c>
      <c r="B69" s="1354" t="s">
        <v>1382</v>
      </c>
      <c r="C69" s="1362"/>
      <c r="D69" s="1361"/>
    </row>
    <row r="70" spans="1:4" ht="47.25">
      <c r="A70" s="1356" t="s">
        <v>1383</v>
      </c>
      <c r="B70" s="1354" t="s">
        <v>1384</v>
      </c>
      <c r="C70" s="1362"/>
      <c r="D70" s="1361"/>
    </row>
    <row r="71" spans="1:4" ht="31.5">
      <c r="A71" s="1356" t="s">
        <v>1385</v>
      </c>
      <c r="B71" s="1357" t="s">
        <v>1386</v>
      </c>
      <c r="C71" s="1363"/>
      <c r="D71" s="1359">
        <f>SUM(D69:D70)</f>
        <v>0</v>
      </c>
    </row>
    <row r="72" spans="1:4" ht="15.75">
      <c r="A72" s="1356" t="s">
        <v>1387</v>
      </c>
      <c r="B72" s="1357" t="s">
        <v>1388</v>
      </c>
      <c r="C72" s="1362"/>
      <c r="D72" s="1361"/>
    </row>
    <row r="73" spans="1:4" ht="16.5" thickBot="1">
      <c r="A73" s="1364" t="s">
        <v>1389</v>
      </c>
      <c r="B73" s="1357" t="s">
        <v>1390</v>
      </c>
      <c r="C73" s="1365"/>
      <c r="D73" s="1365">
        <f>SUM(D68+D64+D58+D55+D71+D72+D56)</f>
        <v>5466392</v>
      </c>
    </row>
    <row r="75" ht="16.5" thickBot="1"/>
    <row r="76" spans="1:3" ht="15.75">
      <c r="A76" s="1628" t="s">
        <v>1416</v>
      </c>
      <c r="B76" s="1630" t="s">
        <v>6</v>
      </c>
      <c r="C76" s="1632" t="s">
        <v>1417</v>
      </c>
    </row>
    <row r="77" spans="1:3" ht="15.75">
      <c r="A77" s="1629"/>
      <c r="B77" s="1631"/>
      <c r="C77" s="1633"/>
    </row>
    <row r="78" spans="1:3" ht="16.5" thickBot="1">
      <c r="A78" s="1412" t="s">
        <v>687</v>
      </c>
      <c r="B78" s="1413" t="s">
        <v>15</v>
      </c>
      <c r="C78" s="1414" t="s">
        <v>688</v>
      </c>
    </row>
    <row r="79" spans="1:3" ht="15.75">
      <c r="A79" s="1415" t="s">
        <v>1418</v>
      </c>
      <c r="B79" s="1416" t="s">
        <v>1269</v>
      </c>
      <c r="C79" s="1417">
        <f>+'12.sz.m.mérleg'!H185</f>
        <v>0</v>
      </c>
    </row>
    <row r="80" spans="1:3" ht="15.75">
      <c r="A80" s="1415" t="s">
        <v>1419</v>
      </c>
      <c r="B80" s="1418" t="s">
        <v>1271</v>
      </c>
      <c r="C80" s="1417">
        <f>+'12.sz.m.mérleg'!H186</f>
        <v>0</v>
      </c>
    </row>
    <row r="81" spans="1:3" ht="15.75">
      <c r="A81" s="1415" t="s">
        <v>1420</v>
      </c>
      <c r="B81" s="1418" t="s">
        <v>1273</v>
      </c>
      <c r="C81" s="1417">
        <f>+'12.sz.m.mérleg'!H190</f>
        <v>17445000</v>
      </c>
    </row>
    <row r="82" spans="1:3" ht="15.75">
      <c r="A82" s="1415" t="s">
        <v>1421</v>
      </c>
      <c r="B82" s="1418" t="s">
        <v>1275</v>
      </c>
      <c r="C82" s="1417">
        <f>+'12.sz.m.mérleg'!H191</f>
        <v>-17380467</v>
      </c>
    </row>
    <row r="83" spans="1:3" ht="15.75">
      <c r="A83" s="1415" t="s">
        <v>1422</v>
      </c>
      <c r="B83" s="1418" t="s">
        <v>1277</v>
      </c>
      <c r="C83" s="1417">
        <f>+'12.sz.m.mérleg'!H192</f>
        <v>0</v>
      </c>
    </row>
    <row r="84" spans="1:3" ht="15.75">
      <c r="A84" s="1415" t="s">
        <v>1423</v>
      </c>
      <c r="B84" s="1418" t="s">
        <v>1279</v>
      </c>
      <c r="C84" s="1417">
        <f>+'12.sz.m.mérleg'!H193</f>
        <v>-1035640</v>
      </c>
    </row>
    <row r="85" spans="1:3" ht="15.75">
      <c r="A85" s="1415" t="s">
        <v>1424</v>
      </c>
      <c r="B85" s="1420" t="s">
        <v>1281</v>
      </c>
      <c r="C85" s="1421">
        <f>SUM(C79:C84)</f>
        <v>-971107</v>
      </c>
    </row>
    <row r="86" spans="1:3" ht="15.75">
      <c r="A86" s="1415" t="s">
        <v>1425</v>
      </c>
      <c r="B86" s="1418" t="s">
        <v>1283</v>
      </c>
      <c r="C86" s="1422">
        <f>+'12.sz.m.mérleg'!H220</f>
        <v>0</v>
      </c>
    </row>
    <row r="87" spans="1:3" ht="15.75">
      <c r="A87" s="1415" t="s">
        <v>1426</v>
      </c>
      <c r="B87" s="1418" t="s">
        <v>1285</v>
      </c>
      <c r="C87" s="1419">
        <f>+'12.sz.m.mérleg'!H244</f>
        <v>0</v>
      </c>
    </row>
    <row r="88" spans="1:3" ht="15.75">
      <c r="A88" s="1415" t="s">
        <v>1427</v>
      </c>
      <c r="B88" s="1418" t="s">
        <v>405</v>
      </c>
      <c r="C88" s="1419">
        <f>+'12.sz.m.mérleg'!H255</f>
        <v>0</v>
      </c>
    </row>
    <row r="89" spans="1:3" ht="15.75">
      <c r="A89" s="1415" t="s">
        <v>1428</v>
      </c>
      <c r="B89" s="1420" t="s">
        <v>407</v>
      </c>
      <c r="C89" s="1421">
        <f>C86+C87+C88</f>
        <v>0</v>
      </c>
    </row>
    <row r="90" spans="1:3" ht="15.75">
      <c r="A90" s="1415" t="s">
        <v>1245</v>
      </c>
      <c r="B90" s="1420" t="s">
        <v>408</v>
      </c>
      <c r="C90" s="1419"/>
    </row>
    <row r="91" spans="1:3" ht="15.75">
      <c r="A91" s="1415" t="s">
        <v>1429</v>
      </c>
      <c r="B91" s="1420" t="s">
        <v>409</v>
      </c>
      <c r="C91" s="1423">
        <f>+'12.sz.m.mérleg'!H261</f>
        <v>6437499</v>
      </c>
    </row>
    <row r="92" spans="1:3" ht="16.5" thickBot="1">
      <c r="A92" s="1424" t="s">
        <v>1430</v>
      </c>
      <c r="B92" s="1425" t="s">
        <v>410</v>
      </c>
      <c r="C92" s="1426">
        <f>C85+C89+C90+C91</f>
        <v>5466392</v>
      </c>
    </row>
  </sheetData>
  <sheetProtection selectLockedCells="1" selectUnlockedCells="1"/>
  <mergeCells count="10">
    <mergeCell ref="A76:A77"/>
    <mergeCell ref="B76:B77"/>
    <mergeCell ref="C76:C77"/>
    <mergeCell ref="A1:D1"/>
    <mergeCell ref="C2:D2"/>
    <mergeCell ref="A3:A5"/>
    <mergeCell ref="B3:B5"/>
    <mergeCell ref="C3:C4"/>
    <mergeCell ref="D3:D4"/>
    <mergeCell ref="C5:D5"/>
  </mergeCells>
  <printOptions/>
  <pageMargins left="0.7875" right="0.7875" top="1.0527777777777778" bottom="1.0527777777777778" header="0.7875" footer="0.7875"/>
  <pageSetup horizontalDpi="300" verticalDpi="300" orientation="portrait" paperSize="9" scale="94" r:id="rId1"/>
  <headerFooter alignWithMargins="0">
    <oddHeader>&amp;R13.c.számú melléklet</oddHeader>
    <oddFooter>&amp;C&amp;"Times New Roman,Normál"&amp;12Oldal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34">
      <selection activeCell="B4" sqref="B4"/>
    </sheetView>
  </sheetViews>
  <sheetFormatPr defaultColWidth="10.7109375" defaultRowHeight="12.75"/>
  <cols>
    <col min="1" max="1" width="67.7109375" style="1410" customWidth="1"/>
    <col min="2" max="2" width="11.421875" style="1410" customWidth="1"/>
    <col min="3" max="3" width="12.7109375" style="1410" customWidth="1"/>
    <col min="4" max="4" width="18.00390625" style="1410" customWidth="1"/>
    <col min="5" max="5" width="18.57421875" style="1410" customWidth="1"/>
    <col min="6" max="16384" width="10.7109375" style="1367" customWidth="1"/>
  </cols>
  <sheetData>
    <row r="1" spans="1:6" ht="48" customHeight="1">
      <c r="A1" s="1646" t="s">
        <v>1392</v>
      </c>
      <c r="B1" s="1646"/>
      <c r="C1" s="1646"/>
      <c r="D1" s="1646"/>
      <c r="E1" s="1646"/>
      <c r="F1" s="1321"/>
    </row>
    <row r="2" spans="1:6" ht="16.5" thickBot="1">
      <c r="A2" s="1368" t="s">
        <v>1259</v>
      </c>
      <c r="B2" s="1347"/>
      <c r="C2" s="1347"/>
      <c r="D2" s="1647" t="s">
        <v>1393</v>
      </c>
      <c r="E2" s="1647"/>
      <c r="F2" s="1321"/>
    </row>
    <row r="3" spans="1:6" ht="54" customHeight="1" thickBot="1">
      <c r="A3" s="1369" t="s">
        <v>4</v>
      </c>
      <c r="B3" s="1370" t="s">
        <v>6</v>
      </c>
      <c r="C3" s="1371" t="s">
        <v>1394</v>
      </c>
      <c r="D3" s="1372" t="s">
        <v>1395</v>
      </c>
      <c r="E3" s="1373" t="s">
        <v>1396</v>
      </c>
      <c r="F3" s="1321"/>
    </row>
    <row r="4" spans="1:6" ht="16.5" thickBot="1">
      <c r="A4" s="1374" t="s">
        <v>687</v>
      </c>
      <c r="B4" s="1375" t="s">
        <v>15</v>
      </c>
      <c r="C4" s="1375" t="s">
        <v>688</v>
      </c>
      <c r="D4" s="1376" t="s">
        <v>689</v>
      </c>
      <c r="E4" s="1377"/>
      <c r="F4" s="1321"/>
    </row>
    <row r="5" spans="1:6" ht="15.75" customHeight="1">
      <c r="A5" s="1378" t="s">
        <v>1397</v>
      </c>
      <c r="B5" s="1379" t="s">
        <v>27</v>
      </c>
      <c r="C5" s="1380">
        <v>108</v>
      </c>
      <c r="D5" s="1381">
        <v>61420823</v>
      </c>
      <c r="E5" s="1382"/>
      <c r="F5" s="1321"/>
    </row>
    <row r="6" spans="1:6" ht="15.75" customHeight="1">
      <c r="A6" s="1378" t="s">
        <v>1398</v>
      </c>
      <c r="B6" s="1383" t="s">
        <v>28</v>
      </c>
      <c r="C6" s="1384"/>
      <c r="D6" s="1385"/>
      <c r="E6" s="1386"/>
      <c r="F6" s="1321"/>
    </row>
    <row r="7" spans="1:6" ht="15.75" customHeight="1">
      <c r="A7" s="1378" t="s">
        <v>1399</v>
      </c>
      <c r="B7" s="1387" t="s">
        <v>10</v>
      </c>
      <c r="C7" s="1384">
        <v>28</v>
      </c>
      <c r="D7" s="1385">
        <v>5533448</v>
      </c>
      <c r="E7" s="1386"/>
      <c r="F7" s="1321"/>
    </row>
    <row r="8" spans="1:6" ht="15.75" customHeight="1" thickBot="1">
      <c r="A8" s="1388" t="s">
        <v>1400</v>
      </c>
      <c r="B8" s="1389" t="s">
        <v>11</v>
      </c>
      <c r="C8" s="1390"/>
      <c r="D8" s="1391"/>
      <c r="E8" s="1392"/>
      <c r="F8" s="1321"/>
    </row>
    <row r="9" spans="1:6" ht="15.75" customHeight="1" thickBot="1">
      <c r="A9" s="1393" t="s">
        <v>1401</v>
      </c>
      <c r="B9" s="1394" t="s">
        <v>12</v>
      </c>
      <c r="C9" s="1395">
        <f>SUM(C10:C13)</f>
        <v>4</v>
      </c>
      <c r="D9" s="1395">
        <f>SUM(D10:D13)</f>
        <v>49916871</v>
      </c>
      <c r="E9" s="1396">
        <f>SUM(E5:E8)</f>
        <v>0</v>
      </c>
      <c r="F9" s="1321"/>
    </row>
    <row r="10" spans="1:6" ht="15.75" customHeight="1">
      <c r="A10" s="1397" t="s">
        <v>1402</v>
      </c>
      <c r="B10" s="1379" t="s">
        <v>13</v>
      </c>
      <c r="C10" s="1380">
        <v>4</v>
      </c>
      <c r="D10" s="1398">
        <v>49916871</v>
      </c>
      <c r="E10" s="1382"/>
      <c r="F10" s="1321"/>
    </row>
    <row r="11" spans="1:6" ht="15.75" customHeight="1">
      <c r="A11" s="1378" t="s">
        <v>1403</v>
      </c>
      <c r="B11" s="1399" t="s">
        <v>14</v>
      </c>
      <c r="C11" s="1384"/>
      <c r="D11" s="1385"/>
      <c r="E11" s="1400"/>
      <c r="F11" s="1321"/>
    </row>
    <row r="12" spans="1:6" ht="15.75" customHeight="1">
      <c r="A12" s="1378" t="s">
        <v>1404</v>
      </c>
      <c r="B12" s="1399" t="s">
        <v>57</v>
      </c>
      <c r="C12" s="1384"/>
      <c r="D12" s="1385"/>
      <c r="E12" s="1400"/>
      <c r="F12" s="1321"/>
    </row>
    <row r="13" spans="1:6" ht="15.75" customHeight="1" thickBot="1">
      <c r="A13" s="1388" t="s">
        <v>1405</v>
      </c>
      <c r="B13" s="1389" t="s">
        <v>58</v>
      </c>
      <c r="C13" s="1390"/>
      <c r="D13" s="1391"/>
      <c r="E13" s="1401"/>
      <c r="F13" s="1321"/>
    </row>
    <row r="14" spans="1:6" ht="15.75" customHeight="1" thickBot="1">
      <c r="A14" s="1393" t="s">
        <v>1406</v>
      </c>
      <c r="B14" s="1402" t="s">
        <v>405</v>
      </c>
      <c r="C14" s="1403"/>
      <c r="D14" s="1404">
        <f>+D15+D16+D17</f>
        <v>0</v>
      </c>
      <c r="E14" s="1377"/>
      <c r="F14" s="1321"/>
    </row>
    <row r="15" spans="1:6" ht="15.75" customHeight="1">
      <c r="A15" s="1397" t="s">
        <v>1407</v>
      </c>
      <c r="B15" s="1379" t="s">
        <v>407</v>
      </c>
      <c r="C15" s="1380"/>
      <c r="D15" s="1398"/>
      <c r="E15" s="1405"/>
      <c r="F15" s="1321"/>
    </row>
    <row r="16" spans="1:6" ht="15.75" customHeight="1">
      <c r="A16" s="1378" t="s">
        <v>1408</v>
      </c>
      <c r="B16" s="1399" t="s">
        <v>408</v>
      </c>
      <c r="C16" s="1384"/>
      <c r="D16" s="1385"/>
      <c r="E16" s="1400"/>
      <c r="F16" s="1321"/>
    </row>
    <row r="17" spans="1:6" ht="15.75" customHeight="1" thickBot="1">
      <c r="A17" s="1388" t="s">
        <v>1409</v>
      </c>
      <c r="B17" s="1389" t="s">
        <v>409</v>
      </c>
      <c r="C17" s="1390"/>
      <c r="D17" s="1391"/>
      <c r="E17" s="1401"/>
      <c r="F17" s="1321"/>
    </row>
    <row r="18" spans="1:6" ht="15.75" customHeight="1" thickBot="1">
      <c r="A18" s="1393" t="s">
        <v>1410</v>
      </c>
      <c r="B18" s="1402" t="s">
        <v>410</v>
      </c>
      <c r="C18" s="1403"/>
      <c r="D18" s="1404">
        <f>+D19+D20+D21</f>
        <v>0</v>
      </c>
      <c r="E18" s="1377"/>
      <c r="F18" s="1321"/>
    </row>
    <row r="19" spans="1:6" ht="15.75" customHeight="1">
      <c r="A19" s="1397" t="s">
        <v>1411</v>
      </c>
      <c r="B19" s="1379" t="s">
        <v>411</v>
      </c>
      <c r="C19" s="1380"/>
      <c r="D19" s="1398"/>
      <c r="E19" s="1405"/>
      <c r="F19" s="1321"/>
    </row>
    <row r="20" spans="1:6" ht="15.75" customHeight="1">
      <c r="A20" s="1378" t="s">
        <v>1412</v>
      </c>
      <c r="B20" s="1399" t="s">
        <v>708</v>
      </c>
      <c r="C20" s="1384"/>
      <c r="D20" s="1385"/>
      <c r="E20" s="1400"/>
      <c r="F20" s="1321"/>
    </row>
    <row r="21" spans="1:6" ht="15.75" customHeight="1">
      <c r="A21" s="1378" t="s">
        <v>1413</v>
      </c>
      <c r="B21" s="1399" t="s">
        <v>710</v>
      </c>
      <c r="C21" s="1384"/>
      <c r="D21" s="1385"/>
      <c r="E21" s="1400"/>
      <c r="F21" s="1321"/>
    </row>
    <row r="22" spans="1:6" ht="15.75" customHeight="1">
      <c r="A22" s="1378" t="s">
        <v>1414</v>
      </c>
      <c r="B22" s="1399" t="s">
        <v>712</v>
      </c>
      <c r="C22" s="1384"/>
      <c r="D22" s="1385"/>
      <c r="E22" s="1400"/>
      <c r="F22" s="1321"/>
    </row>
    <row r="23" spans="1:6" ht="15.75" customHeight="1">
      <c r="A23" s="1378"/>
      <c r="B23" s="1399" t="s">
        <v>714</v>
      </c>
      <c r="C23" s="1384"/>
      <c r="D23" s="1385"/>
      <c r="E23" s="1400"/>
      <c r="F23" s="1321"/>
    </row>
    <row r="24" spans="1:6" ht="15.75" customHeight="1">
      <c r="A24" s="1378"/>
      <c r="B24" s="1399" t="s">
        <v>715</v>
      </c>
      <c r="C24" s="1384"/>
      <c r="D24" s="1385"/>
      <c r="E24" s="1400"/>
      <c r="F24" s="1321"/>
    </row>
    <row r="25" spans="1:6" ht="15.75" customHeight="1">
      <c r="A25" s="1378"/>
      <c r="B25" s="1399" t="s">
        <v>1298</v>
      </c>
      <c r="C25" s="1384"/>
      <c r="D25" s="1385"/>
      <c r="E25" s="1400"/>
      <c r="F25" s="1321"/>
    </row>
    <row r="26" spans="1:6" ht="15.75" customHeight="1">
      <c r="A26" s="1378"/>
      <c r="B26" s="1399" t="s">
        <v>1300</v>
      </c>
      <c r="C26" s="1384"/>
      <c r="D26" s="1385"/>
      <c r="E26" s="1400"/>
      <c r="F26" s="1321"/>
    </row>
    <row r="27" spans="1:6" ht="15.75" customHeight="1">
      <c r="A27" s="1378"/>
      <c r="B27" s="1399" t="s">
        <v>1302</v>
      </c>
      <c r="C27" s="1384"/>
      <c r="D27" s="1385"/>
      <c r="E27" s="1400"/>
      <c r="F27" s="1321"/>
    </row>
    <row r="28" spans="1:6" ht="15.75" customHeight="1">
      <c r="A28" s="1378"/>
      <c r="B28" s="1399" t="s">
        <v>1304</v>
      </c>
      <c r="C28" s="1384"/>
      <c r="D28" s="1385"/>
      <c r="E28" s="1400"/>
      <c r="F28" s="1321"/>
    </row>
    <row r="29" spans="1:6" ht="15.75" customHeight="1">
      <c r="A29" s="1378"/>
      <c r="B29" s="1399" t="s">
        <v>1306</v>
      </c>
      <c r="C29" s="1384"/>
      <c r="D29" s="1385"/>
      <c r="E29" s="1400"/>
      <c r="F29" s="1321"/>
    </row>
    <row r="30" spans="1:6" ht="15.75" customHeight="1">
      <c r="A30" s="1378"/>
      <c r="B30" s="1399" t="s">
        <v>1308</v>
      </c>
      <c r="C30" s="1384"/>
      <c r="D30" s="1385"/>
      <c r="E30" s="1400"/>
      <c r="F30" s="1321"/>
    </row>
    <row r="31" spans="1:6" ht="15.75" customHeight="1">
      <c r="A31" s="1378"/>
      <c r="B31" s="1399" t="s">
        <v>1310</v>
      </c>
      <c r="C31" s="1384"/>
      <c r="D31" s="1385"/>
      <c r="E31" s="1400"/>
      <c r="F31" s="1321"/>
    </row>
    <row r="32" spans="1:6" ht="15.75" customHeight="1">
      <c r="A32" s="1378"/>
      <c r="B32" s="1399" t="s">
        <v>1312</v>
      </c>
      <c r="C32" s="1384"/>
      <c r="D32" s="1385"/>
      <c r="E32" s="1400"/>
      <c r="F32" s="1321"/>
    </row>
    <row r="33" spans="1:6" ht="15.75" customHeight="1">
      <c r="A33" s="1378"/>
      <c r="B33" s="1399" t="s">
        <v>1314</v>
      </c>
      <c r="C33" s="1384"/>
      <c r="D33" s="1385"/>
      <c r="E33" s="1400"/>
      <c r="F33" s="1321"/>
    </row>
    <row r="34" spans="1:6" ht="15.75" customHeight="1">
      <c r="A34" s="1378"/>
      <c r="B34" s="1399" t="s">
        <v>1316</v>
      </c>
      <c r="C34" s="1384"/>
      <c r="D34" s="1385"/>
      <c r="E34" s="1400"/>
      <c r="F34" s="1321"/>
    </row>
    <row r="35" spans="1:6" ht="15.75" customHeight="1">
      <c r="A35" s="1378"/>
      <c r="B35" s="1399" t="s">
        <v>1318</v>
      </c>
      <c r="C35" s="1384"/>
      <c r="D35" s="1385"/>
      <c r="E35" s="1400"/>
      <c r="F35" s="1321"/>
    </row>
    <row r="36" spans="1:6" ht="15.75" customHeight="1">
      <c r="A36" s="1378"/>
      <c r="B36" s="1399" t="s">
        <v>1320</v>
      </c>
      <c r="C36" s="1384"/>
      <c r="D36" s="1385"/>
      <c r="E36" s="1400"/>
      <c r="F36" s="1321"/>
    </row>
    <row r="37" spans="1:6" ht="15.75" customHeight="1" thickBot="1">
      <c r="A37" s="1388"/>
      <c r="B37" s="1389" t="s">
        <v>1322</v>
      </c>
      <c r="C37" s="1390"/>
      <c r="D37" s="1391"/>
      <c r="E37" s="1401"/>
      <c r="F37" s="1321"/>
    </row>
    <row r="38" spans="1:6" ht="15.75" customHeight="1" thickBot="1">
      <c r="A38" s="1648" t="s">
        <v>1415</v>
      </c>
      <c r="B38" s="1648"/>
      <c r="C38" s="1406"/>
      <c r="D38" s="1407">
        <f>SUM(D5+D6+D8+D9+D7)</f>
        <v>116871142</v>
      </c>
      <c r="E38" s="1408">
        <f>E9+E14+E18+E19+E20+E21+E22</f>
        <v>0</v>
      </c>
      <c r="F38" s="1409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&amp;R13.d.számú melléklet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zoomScale="55" zoomScaleNormal="55" workbookViewId="0" topLeftCell="A22">
      <selection activeCell="K29" sqref="K29"/>
    </sheetView>
  </sheetViews>
  <sheetFormatPr defaultColWidth="9.140625" defaultRowHeight="12.75"/>
  <cols>
    <col min="1" max="1" width="7.7109375" style="108" customWidth="1"/>
    <col min="2" max="2" width="3.8515625" style="115" customWidth="1"/>
    <col min="3" max="3" width="5.28125" style="115" customWidth="1"/>
    <col min="4" max="4" width="66.57421875" style="116" customWidth="1"/>
    <col min="5" max="5" width="22.57421875" style="1" customWidth="1"/>
    <col min="6" max="6" width="20.00390625" style="1" hidden="1" customWidth="1"/>
    <col min="7" max="7" width="21.28125" style="1" hidden="1" customWidth="1"/>
    <col min="8" max="9" width="20.421875" style="1" hidden="1" customWidth="1"/>
    <col min="10" max="12" width="20.421875" style="1" customWidth="1"/>
    <col min="13" max="13" width="20.421875" style="66" customWidth="1"/>
    <col min="14" max="14" width="21.28125" style="66" hidden="1" customWidth="1"/>
    <col min="15" max="15" width="23.8515625" style="66" hidden="1" customWidth="1"/>
    <col min="16" max="17" width="22.8515625" style="66" hidden="1" customWidth="1"/>
    <col min="18" max="21" width="22.8515625" style="66" customWidth="1"/>
    <col min="22" max="25" width="22.8515625" style="66" hidden="1" customWidth="1"/>
    <col min="26" max="29" width="22.8515625" style="66" customWidth="1"/>
    <col min="30" max="33" width="22.8515625" style="1" hidden="1" customWidth="1"/>
    <col min="34" max="36" width="22.8515625" style="1" customWidth="1"/>
    <col min="37" max="37" width="22.8515625" style="1" hidden="1" customWidth="1"/>
    <col min="38" max="38" width="22.8515625" style="1" customWidth="1"/>
    <col min="39" max="16384" width="9.140625" style="1" customWidth="1"/>
  </cols>
  <sheetData>
    <row r="1" spans="1:29" ht="24.75" customHeight="1">
      <c r="A1" s="1485" t="s">
        <v>8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1485"/>
      <c r="W1" s="1485"/>
      <c r="X1" s="1485"/>
      <c r="Y1" s="1485"/>
      <c r="Z1" s="1485"/>
      <c r="AA1" s="1485"/>
      <c r="AB1" s="1485"/>
      <c r="AC1" s="1485"/>
    </row>
    <row r="2" spans="1:29" ht="14.25" customHeight="1" thickBot="1">
      <c r="A2" s="794" t="s">
        <v>196</v>
      </c>
      <c r="B2" s="794"/>
      <c r="C2" s="107"/>
      <c r="D2" s="126"/>
      <c r="AC2" s="123" t="s">
        <v>449</v>
      </c>
    </row>
    <row r="3" spans="1:36" s="2" customFormat="1" ht="48.75" customHeight="1" thickBot="1">
      <c r="A3" s="1486" t="s">
        <v>4</v>
      </c>
      <c r="B3" s="1449"/>
      <c r="C3" s="1449"/>
      <c r="D3" s="1449"/>
      <c r="E3" s="418" t="s">
        <v>5</v>
      </c>
      <c r="F3" s="378"/>
      <c r="G3" s="378"/>
      <c r="H3" s="378"/>
      <c r="I3" s="378"/>
      <c r="J3" s="379"/>
      <c r="K3" s="853"/>
      <c r="L3" s="853"/>
      <c r="M3" s="418" t="s">
        <v>61</v>
      </c>
      <c r="N3" s="378"/>
      <c r="O3" s="378"/>
      <c r="P3" s="378"/>
      <c r="Q3" s="378"/>
      <c r="R3" s="788"/>
      <c r="S3" s="788"/>
      <c r="T3" s="379"/>
      <c r="U3" s="418" t="s">
        <v>62</v>
      </c>
      <c r="V3" s="378"/>
      <c r="W3" s="378"/>
      <c r="X3" s="378"/>
      <c r="Y3" s="378"/>
      <c r="Z3" s="379"/>
      <c r="AA3" s="853"/>
      <c r="AB3" s="853"/>
      <c r="AC3" s="1488" t="s">
        <v>66</v>
      </c>
      <c r="AD3" s="1489"/>
      <c r="AE3" s="1489"/>
      <c r="AF3" s="1489"/>
      <c r="AG3" s="1489"/>
      <c r="AH3" s="1489"/>
      <c r="AI3" s="1490"/>
      <c r="AJ3" s="1491"/>
    </row>
    <row r="4" spans="1:37" s="2" customFormat="1" ht="24.75" customHeight="1" thickBot="1">
      <c r="A4" s="294"/>
      <c r="B4" s="292"/>
      <c r="C4" s="292"/>
      <c r="D4" s="292"/>
      <c r="E4" s="343" t="s">
        <v>65</v>
      </c>
      <c r="F4" s="344" t="s">
        <v>228</v>
      </c>
      <c r="G4" s="344" t="s">
        <v>231</v>
      </c>
      <c r="H4" s="344" t="s">
        <v>233</v>
      </c>
      <c r="I4" s="344" t="s">
        <v>246</v>
      </c>
      <c r="J4" s="345" t="s">
        <v>250</v>
      </c>
      <c r="K4" s="343" t="s">
        <v>236</v>
      </c>
      <c r="L4" s="345" t="s">
        <v>237</v>
      </c>
      <c r="M4" s="343" t="s">
        <v>65</v>
      </c>
      <c r="N4" s="344" t="s">
        <v>228</v>
      </c>
      <c r="O4" s="344" t="s">
        <v>231</v>
      </c>
      <c r="P4" s="344" t="s">
        <v>233</v>
      </c>
      <c r="Q4" s="344" t="s">
        <v>246</v>
      </c>
      <c r="R4" s="344" t="s">
        <v>250</v>
      </c>
      <c r="S4" s="343" t="s">
        <v>236</v>
      </c>
      <c r="T4" s="345" t="s">
        <v>237</v>
      </c>
      <c r="U4" s="343" t="s">
        <v>65</v>
      </c>
      <c r="V4" s="344" t="s">
        <v>228</v>
      </c>
      <c r="W4" s="344" t="s">
        <v>231</v>
      </c>
      <c r="X4" s="344" t="s">
        <v>233</v>
      </c>
      <c r="Y4" s="344" t="s">
        <v>246</v>
      </c>
      <c r="Z4" s="345" t="s">
        <v>250</v>
      </c>
      <c r="AA4" s="343" t="s">
        <v>236</v>
      </c>
      <c r="AB4" s="345" t="s">
        <v>237</v>
      </c>
      <c r="AC4" s="343" t="s">
        <v>65</v>
      </c>
      <c r="AD4" s="344" t="s">
        <v>228</v>
      </c>
      <c r="AE4" s="344" t="s">
        <v>231</v>
      </c>
      <c r="AF4" s="344" t="s">
        <v>233</v>
      </c>
      <c r="AG4" s="344" t="s">
        <v>246</v>
      </c>
      <c r="AH4" s="344" t="s">
        <v>250</v>
      </c>
      <c r="AI4" s="343" t="s">
        <v>236</v>
      </c>
      <c r="AJ4" s="345" t="s">
        <v>237</v>
      </c>
      <c r="AK4" s="780"/>
    </row>
    <row r="5" spans="1:36" s="65" customFormat="1" ht="33" customHeight="1" thickBot="1">
      <c r="A5" s="100" t="s">
        <v>27</v>
      </c>
      <c r="B5" s="1487" t="s">
        <v>78</v>
      </c>
      <c r="C5" s="1487"/>
      <c r="D5" s="1487"/>
      <c r="E5" s="346">
        <f aca="true" t="shared" si="0" ref="E5:M5">SUM(E6:E10)</f>
        <v>470826179</v>
      </c>
      <c r="F5" s="284">
        <f t="shared" si="0"/>
        <v>473050541</v>
      </c>
      <c r="G5" s="284">
        <f t="shared" si="0"/>
        <v>477002760</v>
      </c>
      <c r="H5" s="284">
        <f>SUM(H6:H10)</f>
        <v>485342060</v>
      </c>
      <c r="I5" s="284">
        <f>SUM(I6:I10)</f>
        <v>493154041</v>
      </c>
      <c r="J5" s="284">
        <f>SUM(J6:J10)</f>
        <v>569084839</v>
      </c>
      <c r="K5" s="284">
        <f>SUM(K6:K10)</f>
        <v>443841981</v>
      </c>
      <c r="L5" s="1079">
        <f>+K5/J5</f>
        <v>0.7799223430023585</v>
      </c>
      <c r="M5" s="346">
        <f t="shared" si="0"/>
        <v>452880697</v>
      </c>
      <c r="N5" s="284">
        <f aca="true" t="shared" si="1" ref="N5:S5">SUM(N6:N10)</f>
        <v>453114558</v>
      </c>
      <c r="O5" s="284">
        <f t="shared" si="1"/>
        <v>457222036</v>
      </c>
      <c r="P5" s="284">
        <f t="shared" si="1"/>
        <v>465561335</v>
      </c>
      <c r="Q5" s="284">
        <f t="shared" si="1"/>
        <v>475173315</v>
      </c>
      <c r="R5" s="284">
        <f t="shared" si="1"/>
        <v>553804208</v>
      </c>
      <c r="S5" s="284">
        <f t="shared" si="1"/>
        <v>432027539</v>
      </c>
      <c r="T5" s="1079">
        <f>+S5/R5</f>
        <v>0.7801088051681976</v>
      </c>
      <c r="U5" s="346">
        <f aca="true" t="shared" si="2" ref="U5:AA5">SUM(U6:U10)</f>
        <v>17945482</v>
      </c>
      <c r="V5" s="284">
        <f t="shared" si="2"/>
        <v>19935983</v>
      </c>
      <c r="W5" s="284">
        <f t="shared" si="2"/>
        <v>19780724</v>
      </c>
      <c r="X5" s="284">
        <f t="shared" si="2"/>
        <v>19780725</v>
      </c>
      <c r="Y5" s="284">
        <f t="shared" si="2"/>
        <v>17980726</v>
      </c>
      <c r="Z5" s="284">
        <f t="shared" si="2"/>
        <v>15280631</v>
      </c>
      <c r="AA5" s="284">
        <f t="shared" si="2"/>
        <v>11814442</v>
      </c>
      <c r="AB5" s="1079">
        <f>+AA5/Z5</f>
        <v>0.7731645375115727</v>
      </c>
      <c r="AC5" s="346">
        <f aca="true" t="shared" si="3" ref="AC5:AI5">SUM(AC6:AC10)</f>
        <v>5610894</v>
      </c>
      <c r="AD5" s="284">
        <f t="shared" si="3"/>
        <v>5610894</v>
      </c>
      <c r="AE5" s="284">
        <f t="shared" si="3"/>
        <v>5610894</v>
      </c>
      <c r="AF5" s="284">
        <f t="shared" si="3"/>
        <v>5610894</v>
      </c>
      <c r="AG5" s="284">
        <f t="shared" si="3"/>
        <v>5610894</v>
      </c>
      <c r="AH5" s="284">
        <f t="shared" si="3"/>
        <v>5610894</v>
      </c>
      <c r="AI5" s="284">
        <f t="shared" si="3"/>
        <v>5610894</v>
      </c>
      <c r="AJ5" s="1079">
        <f>+AI5/AH5</f>
        <v>1</v>
      </c>
    </row>
    <row r="6" spans="1:36" s="5" customFormat="1" ht="33" customHeight="1">
      <c r="A6" s="99"/>
      <c r="B6" s="104" t="s">
        <v>36</v>
      </c>
      <c r="C6" s="104"/>
      <c r="D6" s="337" t="s">
        <v>0</v>
      </c>
      <c r="E6" s="347">
        <f>'4.sz.m.ÖNK kiadás'!E7+'5.1 sz. m Köz Hiv'!D35+'5.2 sz. m ÁMK'!D38+'üres lap'!D27</f>
        <v>170503539</v>
      </c>
      <c r="F6" s="285">
        <f>'4.sz.m.ÖNK kiadás'!F7+'5.1 sz. m Köz Hiv'!E35+'5.2 sz. m ÁMK'!E38+'üres lap'!E27</f>
        <v>170503539</v>
      </c>
      <c r="G6" s="285">
        <f>'4.sz.m.ÖNK kiadás'!G7+'5.1 sz. m Köz Hiv'!F35+'5.2 sz. m ÁMK'!F38+'üres lap'!F27</f>
        <v>170438359</v>
      </c>
      <c r="H6" s="285">
        <f>'4.sz.m.ÖNK kiadás'!H7+'5.1 sz. m Köz Hiv'!G35+'5.2 sz. m ÁMK'!G38+'üres lap'!G27</f>
        <v>172005287</v>
      </c>
      <c r="I6" s="285">
        <f>'4.sz.m.ÖNK kiadás'!I7+'5.1 sz. m Köz Hiv'!H35+'5.2 sz. m ÁMK'!H38+'üres lap'!H27</f>
        <v>171662469</v>
      </c>
      <c r="J6" s="285">
        <f>'4.sz.m.ÖNK kiadás'!J7+'5.1 sz. m Köz Hiv'!I35+'5.2 sz. m ÁMK'!I38+'üres lap'!I27</f>
        <v>168180559</v>
      </c>
      <c r="K6" s="285">
        <f>'4.sz.m.ÖNK kiadás'!K7+'5.1 sz. m Köz Hiv'!J35+'5.2 sz. m ÁMK'!J38+'üres lap'!J27</f>
        <v>156130697</v>
      </c>
      <c r="L6" s="1080">
        <f aca="true" t="shared" si="4" ref="L6:L36">+K6/J6</f>
        <v>0.9283516354586502</v>
      </c>
      <c r="M6" s="347">
        <f aca="true" t="shared" si="5" ref="M6:S13">E6-U6</f>
        <v>170503539</v>
      </c>
      <c r="N6" s="285">
        <f t="shared" si="5"/>
        <v>170503539</v>
      </c>
      <c r="O6" s="285">
        <f t="shared" si="5"/>
        <v>170438359</v>
      </c>
      <c r="P6" s="285">
        <f t="shared" si="5"/>
        <v>172005287</v>
      </c>
      <c r="Q6" s="285">
        <f t="shared" si="5"/>
        <v>171662469</v>
      </c>
      <c r="R6" s="285">
        <f t="shared" si="5"/>
        <v>168180559</v>
      </c>
      <c r="S6" s="285">
        <f t="shared" si="5"/>
        <v>156130697</v>
      </c>
      <c r="T6" s="1080">
        <f aca="true" t="shared" si="6" ref="T6:T36">+S6/R6</f>
        <v>0.9283516354586502</v>
      </c>
      <c r="U6" s="347">
        <f>'4.sz.m.ÖNK kiadás'!U7</f>
        <v>0</v>
      </c>
      <c r="V6" s="285">
        <f>'4.sz.m.ÖNK kiadás'!V7</f>
        <v>0</v>
      </c>
      <c r="W6" s="285">
        <f>'4.sz.m.ÖNK kiadás'!W7</f>
        <v>0</v>
      </c>
      <c r="X6" s="285">
        <f>'4.sz.m.ÖNK kiadás'!X7</f>
        <v>0</v>
      </c>
      <c r="Y6" s="285">
        <f>'4.sz.m.ÖNK kiadás'!Y7</f>
        <v>0</v>
      </c>
      <c r="Z6" s="285">
        <f>'4.sz.m.ÖNK kiadás'!Z7</f>
        <v>0</v>
      </c>
      <c r="AA6" s="285">
        <f>'4.sz.m.ÖNK kiadás'!AA7</f>
        <v>0</v>
      </c>
      <c r="AB6" s="1080"/>
      <c r="AC6" s="347">
        <f>'5.1 sz. m Köz Hiv'!T35</f>
        <v>3626473</v>
      </c>
      <c r="AD6" s="285">
        <f>'5.1 sz. m Köz Hiv'!U35</f>
        <v>3626473</v>
      </c>
      <c r="AE6" s="285">
        <f>'5.1 sz. m Köz Hiv'!V35</f>
        <v>3626473</v>
      </c>
      <c r="AF6" s="285">
        <f>'5.1 sz. m Köz Hiv'!W35</f>
        <v>3626473</v>
      </c>
      <c r="AG6" s="285">
        <f>'5.1 sz. m Köz Hiv'!X35</f>
        <v>3626473</v>
      </c>
      <c r="AH6" s="285">
        <f>'5.1 sz. m Köz Hiv'!Y35</f>
        <v>3626473</v>
      </c>
      <c r="AI6" s="285">
        <f>'5.1 sz. m Köz Hiv'!Z35</f>
        <v>3626473</v>
      </c>
      <c r="AJ6" s="1080">
        <f>+AI6/AH6</f>
        <v>1</v>
      </c>
    </row>
    <row r="7" spans="1:36" s="5" customFormat="1" ht="33" customHeight="1">
      <c r="A7" s="82"/>
      <c r="B7" s="91" t="s">
        <v>37</v>
      </c>
      <c r="C7" s="91"/>
      <c r="D7" s="338" t="s">
        <v>79</v>
      </c>
      <c r="E7" s="347">
        <f>'4.sz.m.ÖNK kiadás'!E8+'5.1 sz. m Köz Hiv'!D36+'5.2 sz. m ÁMK'!D39+'üres lap'!D28</f>
        <v>38651471</v>
      </c>
      <c r="F7" s="285">
        <f>'4.sz.m.ÖNK kiadás'!F8+'5.1 sz. m Köz Hiv'!E36+'5.2 sz. m ÁMK'!E39+'üres lap'!E28</f>
        <v>38651471</v>
      </c>
      <c r="G7" s="285">
        <f>'4.sz.m.ÖNK kiadás'!G8+'5.1 sz. m Köz Hiv'!F36+'5.2 sz. m ÁMK'!F39+'üres lap'!F28</f>
        <v>38651471</v>
      </c>
      <c r="H7" s="285">
        <f>'4.sz.m.ÖNK kiadás'!H8+'5.1 sz. m Köz Hiv'!G36+'5.2 sz. m ÁMK'!G39+'üres lap'!G28</f>
        <v>39074543</v>
      </c>
      <c r="I7" s="285">
        <f>'4.sz.m.ÖNK kiadás'!I8+'5.1 sz. m Köz Hiv'!H36+'5.2 sz. m ÁMK'!H39+'üres lap'!H28</f>
        <v>39055796</v>
      </c>
      <c r="J7" s="285">
        <f>'4.sz.m.ÖNK kiadás'!J8+'5.1 sz. m Köz Hiv'!I36+'5.2 sz. m ÁMK'!I39+'üres lap'!I28</f>
        <v>38438022</v>
      </c>
      <c r="K7" s="285">
        <f>'4.sz.m.ÖNK kiadás'!K8+'5.1 sz. m Köz Hiv'!J36+'5.2 sz. m ÁMK'!J39+'üres lap'!J28</f>
        <v>34678953</v>
      </c>
      <c r="L7" s="1080">
        <f t="shared" si="4"/>
        <v>0.9022044110386326</v>
      </c>
      <c r="M7" s="347">
        <f t="shared" si="5"/>
        <v>38651471</v>
      </c>
      <c r="N7" s="285">
        <f t="shared" si="5"/>
        <v>38651471</v>
      </c>
      <c r="O7" s="285">
        <f t="shared" si="5"/>
        <v>38651471</v>
      </c>
      <c r="P7" s="285">
        <f t="shared" si="5"/>
        <v>39074543</v>
      </c>
      <c r="Q7" s="285">
        <f t="shared" si="5"/>
        <v>39055796</v>
      </c>
      <c r="R7" s="285">
        <f t="shared" si="5"/>
        <v>38438022</v>
      </c>
      <c r="S7" s="285">
        <f t="shared" si="5"/>
        <v>34678953</v>
      </c>
      <c r="T7" s="1080">
        <f t="shared" si="6"/>
        <v>0.9022044110386326</v>
      </c>
      <c r="U7" s="347">
        <f>'4.sz.m.ÖNK kiadás'!U8</f>
        <v>0</v>
      </c>
      <c r="V7" s="285">
        <f>'4.sz.m.ÖNK kiadás'!V8</f>
        <v>0</v>
      </c>
      <c r="W7" s="285">
        <f>'4.sz.m.ÖNK kiadás'!W8</f>
        <v>0</v>
      </c>
      <c r="X7" s="285">
        <f>'4.sz.m.ÖNK kiadás'!X8</f>
        <v>0</v>
      </c>
      <c r="Y7" s="285">
        <f>'4.sz.m.ÖNK kiadás'!Y8</f>
        <v>0</v>
      </c>
      <c r="Z7" s="285">
        <f>'4.sz.m.ÖNK kiadás'!Z8</f>
        <v>0</v>
      </c>
      <c r="AA7" s="285">
        <f>'4.sz.m.ÖNK kiadás'!AA8</f>
        <v>0</v>
      </c>
      <c r="AB7" s="1080"/>
      <c r="AC7" s="347">
        <f>'5.1 sz. m Köz Hiv'!T36</f>
        <v>799596</v>
      </c>
      <c r="AD7" s="285">
        <f>'5.1 sz. m Köz Hiv'!U36</f>
        <v>799596</v>
      </c>
      <c r="AE7" s="285">
        <f>'5.1 sz. m Köz Hiv'!V36</f>
        <v>799596</v>
      </c>
      <c r="AF7" s="285">
        <f>'5.1 sz. m Köz Hiv'!W36</f>
        <v>799596</v>
      </c>
      <c r="AG7" s="285">
        <f>'5.1 sz. m Köz Hiv'!X36</f>
        <v>799596</v>
      </c>
      <c r="AH7" s="285">
        <f>'5.1 sz. m Köz Hiv'!Y36</f>
        <v>799596</v>
      </c>
      <c r="AI7" s="285">
        <f>'5.1 sz. m Köz Hiv'!Z36</f>
        <v>799596</v>
      </c>
      <c r="AJ7" s="1080">
        <f>+AI7/AH7</f>
        <v>1</v>
      </c>
    </row>
    <row r="8" spans="1:36" s="5" customFormat="1" ht="33" customHeight="1">
      <c r="A8" s="82"/>
      <c r="B8" s="91" t="s">
        <v>38</v>
      </c>
      <c r="C8" s="91"/>
      <c r="D8" s="338" t="s">
        <v>80</v>
      </c>
      <c r="E8" s="347">
        <f>'4.sz.m.ÖNK kiadás'!E9+'5.1 sz. m Köz Hiv'!D37+'5.2 sz. m ÁMK'!D40+'üres lap'!D29</f>
        <v>127616672</v>
      </c>
      <c r="F8" s="285">
        <f>'4.sz.m.ÖNK kiadás'!F9+'5.1 sz. m Köz Hiv'!E37+'5.2 sz. m ÁMK'!E40+'üres lap'!E29</f>
        <v>127773672</v>
      </c>
      <c r="G8" s="285">
        <f>'4.sz.m.ÖNK kiadás'!G9+'5.1 sz. m Köz Hiv'!F37+'5.2 sz. m ÁMK'!F40+'üres lap'!F29</f>
        <v>131946331</v>
      </c>
      <c r="H8" s="285">
        <f>'4.sz.m.ÖNK kiadás'!H9+'5.1 sz. m Köz Hiv'!G37+'5.2 sz. m ÁMK'!G40+'üres lap'!G29</f>
        <v>138295631</v>
      </c>
      <c r="I8" s="285">
        <f>'4.sz.m.ÖNK kiadás'!I9+'5.1 sz. m Köz Hiv'!H37+'5.2 sz. m ÁMK'!H40+'üres lap'!H29</f>
        <v>142431820</v>
      </c>
      <c r="J8" s="285">
        <f>'4.sz.m.ÖNK kiadás'!J9+'5.1 sz. m Köz Hiv'!I37+'5.2 sz. m ÁMK'!I40+'üres lap'!I29</f>
        <v>207090050</v>
      </c>
      <c r="K8" s="285">
        <f>'4.sz.m.ÖNK kiadás'!K9+'5.1 sz. m Köz Hiv'!J37+'5.2 sz. m ÁMK'!J40+'üres lap'!J29</f>
        <v>101512985</v>
      </c>
      <c r="L8" s="1080">
        <f t="shared" si="4"/>
        <v>0.4901876502516659</v>
      </c>
      <c r="M8" s="347">
        <f t="shared" si="5"/>
        <v>125749977</v>
      </c>
      <c r="N8" s="285">
        <f t="shared" si="5"/>
        <v>125906977</v>
      </c>
      <c r="O8" s="285">
        <f t="shared" si="5"/>
        <v>130079636</v>
      </c>
      <c r="P8" s="285">
        <f t="shared" si="5"/>
        <v>136428936</v>
      </c>
      <c r="Q8" s="285">
        <f t="shared" si="5"/>
        <v>140565125</v>
      </c>
      <c r="R8" s="285">
        <f t="shared" si="5"/>
        <v>205175926</v>
      </c>
      <c r="S8" s="285">
        <f t="shared" si="5"/>
        <v>100101750</v>
      </c>
      <c r="T8" s="1080">
        <f t="shared" si="6"/>
        <v>0.4878825306239875</v>
      </c>
      <c r="U8" s="347">
        <f>'4.sz.m.ÖNK kiadás'!U9</f>
        <v>1866695</v>
      </c>
      <c r="V8" s="285">
        <f>'4.sz.m.ÖNK kiadás'!V9</f>
        <v>1866695</v>
      </c>
      <c r="W8" s="285">
        <f>'4.sz.m.ÖNK kiadás'!W9</f>
        <v>1866695</v>
      </c>
      <c r="X8" s="285">
        <f>'4.sz.m.ÖNK kiadás'!X9</f>
        <v>1866695</v>
      </c>
      <c r="Y8" s="285">
        <f>'4.sz.m.ÖNK kiadás'!Y9</f>
        <v>1866695</v>
      </c>
      <c r="Z8" s="285">
        <f>'4.sz.m.ÖNK kiadás'!Z9</f>
        <v>1914124</v>
      </c>
      <c r="AA8" s="285">
        <f>'4.sz.m.ÖNK kiadás'!AA9</f>
        <v>1411235</v>
      </c>
      <c r="AB8" s="1080">
        <f>+AA8/Z8</f>
        <v>0.7372745966301034</v>
      </c>
      <c r="AC8" s="347">
        <f>'5.1 sz. m Köz Hiv'!T37</f>
        <v>1184825</v>
      </c>
      <c r="AD8" s="285">
        <f>'5.1 sz. m Köz Hiv'!U37</f>
        <v>1184825</v>
      </c>
      <c r="AE8" s="285">
        <f>'5.1 sz. m Köz Hiv'!V37</f>
        <v>1184825</v>
      </c>
      <c r="AF8" s="285">
        <f>'5.1 sz. m Köz Hiv'!W37</f>
        <v>1184825</v>
      </c>
      <c r="AG8" s="285">
        <f>'5.1 sz. m Köz Hiv'!X37</f>
        <v>1184825</v>
      </c>
      <c r="AH8" s="285">
        <f>'5.1 sz. m Köz Hiv'!Y37</f>
        <v>1184825</v>
      </c>
      <c r="AI8" s="285">
        <f>'5.1 sz. m Köz Hiv'!Z37</f>
        <v>1184825</v>
      </c>
      <c r="AJ8" s="1080">
        <f>+AI8/AH8</f>
        <v>1</v>
      </c>
    </row>
    <row r="9" spans="1:36" s="5" customFormat="1" ht="33" customHeight="1">
      <c r="A9" s="82"/>
      <c r="B9" s="91" t="s">
        <v>49</v>
      </c>
      <c r="C9" s="91"/>
      <c r="D9" s="338" t="s">
        <v>81</v>
      </c>
      <c r="E9" s="347">
        <f>'4.sz.m.ÖNK kiadás'!E10+'5.1 sz. m Köz Hiv'!D38+'5.2 sz. m ÁMK'!D41+'üres lap'!D30</f>
        <v>3025952</v>
      </c>
      <c r="F9" s="285">
        <f>'4.sz.m.ÖNK kiadás'!F10+'5.1 sz. m Köz Hiv'!E38+'5.2 sz. m ÁMK'!E41+'üres lap'!E30</f>
        <v>3025952</v>
      </c>
      <c r="G9" s="285">
        <f>'4.sz.m.ÖNK kiadás'!G10+'5.1 sz. m Köz Hiv'!F38+'5.2 sz. m ÁMK'!F41+'üres lap'!F30</f>
        <v>3025952</v>
      </c>
      <c r="H9" s="285">
        <f>'4.sz.m.ÖNK kiadás'!H10+'5.1 sz. m Köz Hiv'!G38+'5.2 sz. m ÁMK'!G41+'üres lap'!G30</f>
        <v>3025952</v>
      </c>
      <c r="I9" s="285">
        <f>'4.sz.m.ÖNK kiadás'!I10+'5.1 sz. m Köz Hiv'!H38+'5.2 sz. m ÁMK'!H41+'üres lap'!H30</f>
        <v>3236952</v>
      </c>
      <c r="J9" s="285">
        <f>'4.sz.m.ÖNK kiadás'!J10+'5.1 sz. m Köz Hiv'!I38+'5.2 sz. m ÁMK'!I41+'üres lap'!I30</f>
        <v>2642000</v>
      </c>
      <c r="K9" s="285">
        <f>'4.sz.m.ÖNK kiadás'!K10+'5.1 sz. m Köz Hiv'!J38+'5.2 sz. m ÁMK'!J41+'üres lap'!J30</f>
        <v>1808438</v>
      </c>
      <c r="L9" s="1080">
        <f t="shared" si="4"/>
        <v>0.6844958364875094</v>
      </c>
      <c r="M9" s="347">
        <f t="shared" si="5"/>
        <v>245952</v>
      </c>
      <c r="N9" s="285">
        <f t="shared" si="5"/>
        <v>245952</v>
      </c>
      <c r="O9" s="285">
        <f t="shared" si="5"/>
        <v>245952</v>
      </c>
      <c r="P9" s="285">
        <f t="shared" si="5"/>
        <v>245952</v>
      </c>
      <c r="Q9" s="285">
        <f t="shared" si="5"/>
        <v>456952</v>
      </c>
      <c r="R9" s="285">
        <f t="shared" si="5"/>
        <v>2642000</v>
      </c>
      <c r="S9" s="285">
        <f t="shared" si="5"/>
        <v>1808438</v>
      </c>
      <c r="T9" s="1080">
        <f t="shared" si="6"/>
        <v>0.6844958364875094</v>
      </c>
      <c r="U9" s="347">
        <f>'4.sz.m.ÖNK kiadás'!U10</f>
        <v>2780000</v>
      </c>
      <c r="V9" s="285">
        <f>'4.sz.m.ÖNK kiadás'!V10</f>
        <v>2780000</v>
      </c>
      <c r="W9" s="285">
        <f>'4.sz.m.ÖNK kiadás'!W10</f>
        <v>2780000</v>
      </c>
      <c r="X9" s="285">
        <f>'4.sz.m.ÖNK kiadás'!X10</f>
        <v>2780000</v>
      </c>
      <c r="Y9" s="285">
        <f>'4.sz.m.ÖNK kiadás'!Y10</f>
        <v>2780000</v>
      </c>
      <c r="Z9" s="285">
        <f>'4.sz.m.ÖNK kiadás'!Z10</f>
        <v>0</v>
      </c>
      <c r="AA9" s="285">
        <f>'4.sz.m.ÖNK kiadás'!AA10</f>
        <v>0</v>
      </c>
      <c r="AB9" s="1080"/>
      <c r="AC9" s="347">
        <v>0</v>
      </c>
      <c r="AD9" s="285"/>
      <c r="AE9" s="285"/>
      <c r="AF9" s="285"/>
      <c r="AG9" s="285"/>
      <c r="AH9" s="285"/>
      <c r="AI9" s="285"/>
      <c r="AJ9" s="1080"/>
    </row>
    <row r="10" spans="1:36" s="5" customFormat="1" ht="33" customHeight="1">
      <c r="A10" s="82"/>
      <c r="B10" s="91" t="s">
        <v>50</v>
      </c>
      <c r="C10" s="91"/>
      <c r="D10" s="339" t="s">
        <v>83</v>
      </c>
      <c r="E10" s="347">
        <f aca="true" t="shared" si="7" ref="E10:J10">SUM(E11:E15)</f>
        <v>131028545</v>
      </c>
      <c r="F10" s="285">
        <f t="shared" si="7"/>
        <v>133095907</v>
      </c>
      <c r="G10" s="285">
        <f t="shared" si="7"/>
        <v>132940647</v>
      </c>
      <c r="H10" s="285">
        <f t="shared" si="7"/>
        <v>132940647</v>
      </c>
      <c r="I10" s="285">
        <f t="shared" si="7"/>
        <v>136767004</v>
      </c>
      <c r="J10" s="285">
        <f t="shared" si="7"/>
        <v>152734208</v>
      </c>
      <c r="K10" s="285">
        <f>SUM(K11:K15)</f>
        <v>149710908</v>
      </c>
      <c r="L10" s="1080">
        <f t="shared" si="4"/>
        <v>0.980205482192961</v>
      </c>
      <c r="M10" s="347">
        <f t="shared" si="5"/>
        <v>117729758</v>
      </c>
      <c r="N10" s="285">
        <f t="shared" si="5"/>
        <v>117806619</v>
      </c>
      <c r="O10" s="285">
        <f t="shared" si="5"/>
        <v>117806618</v>
      </c>
      <c r="P10" s="285">
        <f t="shared" si="5"/>
        <v>117806617</v>
      </c>
      <c r="Q10" s="285">
        <f t="shared" si="5"/>
        <v>123432973</v>
      </c>
      <c r="R10" s="285">
        <f t="shared" si="5"/>
        <v>139367701</v>
      </c>
      <c r="S10" s="285">
        <f t="shared" si="5"/>
        <v>139307701</v>
      </c>
      <c r="T10" s="1080">
        <f t="shared" si="6"/>
        <v>0.9995694841805562</v>
      </c>
      <c r="U10" s="347">
        <f>'4.sz.m.ÖNK kiadás'!U11</f>
        <v>13298787</v>
      </c>
      <c r="V10" s="285">
        <f>'4.sz.m.ÖNK kiadás'!V11</f>
        <v>15289288</v>
      </c>
      <c r="W10" s="285">
        <f>'4.sz.m.ÖNK kiadás'!W11</f>
        <v>15134029</v>
      </c>
      <c r="X10" s="285">
        <f>'4.sz.m.ÖNK kiadás'!X11</f>
        <v>15134030</v>
      </c>
      <c r="Y10" s="285">
        <f>'4.sz.m.ÖNK kiadás'!Y11</f>
        <v>13334031</v>
      </c>
      <c r="Z10" s="285">
        <f>'4.sz.m.ÖNK kiadás'!Z11</f>
        <v>13366507</v>
      </c>
      <c r="AA10" s="285">
        <f>'4.sz.m.ÖNK kiadás'!AA11</f>
        <v>10403207</v>
      </c>
      <c r="AB10" s="1080">
        <f>+AA10/Z10</f>
        <v>0.7783040849789702</v>
      </c>
      <c r="AC10" s="347">
        <v>0</v>
      </c>
      <c r="AD10" s="285"/>
      <c r="AE10" s="285"/>
      <c r="AF10" s="285"/>
      <c r="AG10" s="285"/>
      <c r="AH10" s="285"/>
      <c r="AI10" s="285"/>
      <c r="AJ10" s="1080"/>
    </row>
    <row r="11" spans="1:36" s="5" customFormat="1" ht="33" customHeight="1">
      <c r="A11" s="82"/>
      <c r="B11" s="114"/>
      <c r="C11" s="91" t="s">
        <v>82</v>
      </c>
      <c r="D11" s="340" t="s">
        <v>276</v>
      </c>
      <c r="E11" s="347">
        <f>'4.sz.m.ÖNK kiadás'!E12</f>
        <v>215403</v>
      </c>
      <c r="F11" s="285">
        <f>'4.sz.m.ÖNK kiadás'!F12</f>
        <v>292265</v>
      </c>
      <c r="G11" s="285">
        <f>'4.sz.m.ÖNK kiadás'!G12</f>
        <v>292265</v>
      </c>
      <c r="H11" s="285">
        <f>'4.sz.m.ÖNK kiadás'!H12+'5.1 sz. m Köz Hiv'!G39+'5.2 sz. m ÁMK'!G42</f>
        <v>292265</v>
      </c>
      <c r="I11" s="285">
        <f>'4.sz.m.ÖNK kiadás'!I12+'5.1 sz. m Köz Hiv'!H39+'5.2 sz. m ÁMK'!H42</f>
        <v>292265</v>
      </c>
      <c r="J11" s="285">
        <f>'4.sz.m.ÖNK kiadás'!J12+'5.1 sz. m Köz Hiv'!I39+'5.2 sz. m ÁMK'!I42</f>
        <v>292265</v>
      </c>
      <c r="K11" s="285">
        <f>'4.sz.m.ÖNK kiadás'!K12+'5.1 sz. m Köz Hiv'!J39+'5.2 sz. m ÁMK'!J42</f>
        <v>292265</v>
      </c>
      <c r="L11" s="1080">
        <f t="shared" si="4"/>
        <v>1</v>
      </c>
      <c r="M11" s="347">
        <f t="shared" si="5"/>
        <v>215403</v>
      </c>
      <c r="N11" s="285">
        <f t="shared" si="5"/>
        <v>292264</v>
      </c>
      <c r="O11" s="285">
        <f t="shared" si="5"/>
        <v>292263</v>
      </c>
      <c r="P11" s="285">
        <f t="shared" si="5"/>
        <v>292262</v>
      </c>
      <c r="Q11" s="285">
        <f t="shared" si="5"/>
        <v>292261</v>
      </c>
      <c r="R11" s="285">
        <f t="shared" si="5"/>
        <v>292265</v>
      </c>
      <c r="S11" s="285">
        <f t="shared" si="5"/>
        <v>292265</v>
      </c>
      <c r="T11" s="1080">
        <f t="shared" si="6"/>
        <v>1</v>
      </c>
      <c r="U11" s="347">
        <f>'4.sz.m.ÖNK kiadás'!U12</f>
        <v>0</v>
      </c>
      <c r="V11" s="285">
        <f>'4.sz.m.ÖNK kiadás'!V12</f>
        <v>1</v>
      </c>
      <c r="W11" s="285">
        <f>'4.sz.m.ÖNK kiadás'!W12</f>
        <v>2</v>
      </c>
      <c r="X11" s="285">
        <f>'4.sz.m.ÖNK kiadás'!X12</f>
        <v>3</v>
      </c>
      <c r="Y11" s="285">
        <f>'4.sz.m.ÖNK kiadás'!Y12</f>
        <v>4</v>
      </c>
      <c r="Z11" s="285">
        <f>'4.sz.m.ÖNK kiadás'!Z12</f>
        <v>0</v>
      </c>
      <c r="AA11" s="285">
        <f>'4.sz.m.ÖNK kiadás'!AA12</f>
        <v>0</v>
      </c>
      <c r="AB11" s="1080"/>
      <c r="AC11" s="347">
        <v>0</v>
      </c>
      <c r="AD11" s="285"/>
      <c r="AE11" s="285"/>
      <c r="AF11" s="285"/>
      <c r="AG11" s="285"/>
      <c r="AH11" s="285"/>
      <c r="AI11" s="285"/>
      <c r="AJ11" s="1080"/>
    </row>
    <row r="12" spans="1:36" s="5" customFormat="1" ht="57.75" customHeight="1">
      <c r="A12" s="82"/>
      <c r="B12" s="91"/>
      <c r="C12" s="91" t="s">
        <v>84</v>
      </c>
      <c r="D12" s="338" t="s">
        <v>277</v>
      </c>
      <c r="E12" s="347">
        <f>'4.sz.m.ÖNK kiadás'!E13</f>
        <v>11431025</v>
      </c>
      <c r="F12" s="285">
        <f>'4.sz.m.ÖNK kiadás'!F13</f>
        <v>13421525</v>
      </c>
      <c r="G12" s="285">
        <f>'4.sz.m.ÖNK kiadás'!G13</f>
        <v>13321165</v>
      </c>
      <c r="H12" s="285">
        <f>'4.sz.m.ÖNK kiadás'!H13</f>
        <v>13321165</v>
      </c>
      <c r="I12" s="285">
        <f>'4.sz.m.ÖNK kiadás'!I13</f>
        <v>11521165</v>
      </c>
      <c r="J12" s="285">
        <f>'4.sz.m.ÖNK kiadás'!J13</f>
        <v>11553645</v>
      </c>
      <c r="K12" s="285">
        <f>'4.sz.m.ÖNK kiadás'!K13</f>
        <v>8898120</v>
      </c>
      <c r="L12" s="1080">
        <f t="shared" si="4"/>
        <v>0.770156950468878</v>
      </c>
      <c r="M12" s="347">
        <f t="shared" si="5"/>
        <v>0</v>
      </c>
      <c r="N12" s="285">
        <f t="shared" si="5"/>
        <v>0</v>
      </c>
      <c r="O12" s="285">
        <f t="shared" si="5"/>
        <v>0</v>
      </c>
      <c r="P12" s="285">
        <f t="shared" si="5"/>
        <v>0</v>
      </c>
      <c r="Q12" s="285">
        <f t="shared" si="5"/>
        <v>0</v>
      </c>
      <c r="R12" s="285">
        <f t="shared" si="5"/>
        <v>0</v>
      </c>
      <c r="S12" s="285">
        <f t="shared" si="5"/>
        <v>0</v>
      </c>
      <c r="T12" s="1080"/>
      <c r="U12" s="347">
        <f>'4.sz.m.ÖNK kiadás'!U13</f>
        <v>11431025</v>
      </c>
      <c r="V12" s="285">
        <f>'4.sz.m.ÖNK kiadás'!V13</f>
        <v>13421525</v>
      </c>
      <c r="W12" s="285">
        <f>'4.sz.m.ÖNK kiadás'!W13</f>
        <v>13321165</v>
      </c>
      <c r="X12" s="285">
        <f>'4.sz.m.ÖNK kiadás'!X13</f>
        <v>13321165</v>
      </c>
      <c r="Y12" s="285">
        <f>'4.sz.m.ÖNK kiadás'!Y13</f>
        <v>11521165</v>
      </c>
      <c r="Z12" s="285">
        <f>'4.sz.m.ÖNK kiadás'!Z13</f>
        <v>11553645</v>
      </c>
      <c r="AA12" s="285">
        <f>'4.sz.m.ÖNK kiadás'!AA13</f>
        <v>8898120</v>
      </c>
      <c r="AB12" s="1080">
        <f>+AA12/Z12</f>
        <v>0.770156950468878</v>
      </c>
      <c r="AC12" s="347">
        <v>0</v>
      </c>
      <c r="AD12" s="285"/>
      <c r="AE12" s="285"/>
      <c r="AF12" s="285"/>
      <c r="AG12" s="285"/>
      <c r="AH12" s="285"/>
      <c r="AI12" s="285"/>
      <c r="AJ12" s="1080"/>
    </row>
    <row r="13" spans="1:36" s="5" customFormat="1" ht="54.75" customHeight="1" thickBot="1">
      <c r="A13" s="110"/>
      <c r="B13" s="111"/>
      <c r="C13" s="91" t="s">
        <v>85</v>
      </c>
      <c r="D13" s="338" t="s">
        <v>278</v>
      </c>
      <c r="E13" s="347">
        <f>'4.sz.m.ÖNK kiadás'!E14</f>
        <v>119382117</v>
      </c>
      <c r="F13" s="285">
        <f>'4.sz.m.ÖNK kiadás'!F14</f>
        <v>119382117</v>
      </c>
      <c r="G13" s="285">
        <f>'4.sz.m.ÖNK kiadás'!G14</f>
        <v>119327217</v>
      </c>
      <c r="H13" s="285">
        <f>'4.sz.m.ÖNK kiadás'!H14</f>
        <v>119327217</v>
      </c>
      <c r="I13" s="285">
        <f>'4.sz.m.ÖNK kiadás'!I14</f>
        <v>124953574</v>
      </c>
      <c r="J13" s="285">
        <f>'4.sz.m.ÖNK kiadás'!J14</f>
        <v>140888298</v>
      </c>
      <c r="K13" s="285">
        <f>'4.sz.m.ÖNK kiadás'!K14</f>
        <v>140520523</v>
      </c>
      <c r="L13" s="1080">
        <f t="shared" si="4"/>
        <v>0.9973895986734115</v>
      </c>
      <c r="M13" s="347">
        <f t="shared" si="5"/>
        <v>117514355</v>
      </c>
      <c r="N13" s="285">
        <f t="shared" si="5"/>
        <v>117514355</v>
      </c>
      <c r="O13" s="285">
        <f t="shared" si="5"/>
        <v>117514355</v>
      </c>
      <c r="P13" s="285">
        <f t="shared" si="5"/>
        <v>117514355</v>
      </c>
      <c r="Q13" s="285">
        <f t="shared" si="5"/>
        <v>123140712</v>
      </c>
      <c r="R13" s="285">
        <f t="shared" si="5"/>
        <v>139075436</v>
      </c>
      <c r="S13" s="285">
        <f t="shared" si="5"/>
        <v>139015436</v>
      </c>
      <c r="T13" s="1080">
        <f t="shared" si="6"/>
        <v>0.9995685794578418</v>
      </c>
      <c r="U13" s="347">
        <f>'4.sz.m.ÖNK kiadás'!U14</f>
        <v>1867762</v>
      </c>
      <c r="V13" s="285">
        <f>'4.sz.m.ÖNK kiadás'!V14</f>
        <v>1867762</v>
      </c>
      <c r="W13" s="285">
        <f>'4.sz.m.ÖNK kiadás'!W14</f>
        <v>1812862</v>
      </c>
      <c r="X13" s="285">
        <f>'4.sz.m.ÖNK kiadás'!X14</f>
        <v>1812862</v>
      </c>
      <c r="Y13" s="285">
        <f>'4.sz.m.ÖNK kiadás'!Y14</f>
        <v>1812862</v>
      </c>
      <c r="Z13" s="285">
        <f>'4.sz.m.ÖNK kiadás'!Z14</f>
        <v>1812862</v>
      </c>
      <c r="AA13" s="285">
        <f>'4.sz.m.ÖNK kiadás'!AA14</f>
        <v>1505087</v>
      </c>
      <c r="AB13" s="1080">
        <f>+AA13/Z13</f>
        <v>0.8302270112121055</v>
      </c>
      <c r="AC13" s="347">
        <v>0</v>
      </c>
      <c r="AD13" s="285"/>
      <c r="AE13" s="285"/>
      <c r="AF13" s="285"/>
      <c r="AG13" s="285"/>
      <c r="AH13" s="285"/>
      <c r="AI13" s="285"/>
      <c r="AJ13" s="1080"/>
    </row>
    <row r="14" spans="1:36" s="5" customFormat="1" ht="33" customHeight="1" hidden="1">
      <c r="A14" s="82"/>
      <c r="B14" s="91"/>
      <c r="C14" s="91" t="s">
        <v>88</v>
      </c>
      <c r="D14" s="338" t="s">
        <v>90</v>
      </c>
      <c r="E14" s="347"/>
      <c r="F14" s="285"/>
      <c r="G14" s="285"/>
      <c r="H14" s="285"/>
      <c r="I14" s="285"/>
      <c r="J14" s="285"/>
      <c r="K14" s="285"/>
      <c r="L14" s="1080" t="e">
        <f t="shared" si="4"/>
        <v>#DIV/0!</v>
      </c>
      <c r="M14" s="347"/>
      <c r="N14" s="285"/>
      <c r="O14" s="285"/>
      <c r="P14" s="285"/>
      <c r="Q14" s="285"/>
      <c r="R14" s="285"/>
      <c r="S14" s="285"/>
      <c r="T14" s="1080" t="e">
        <f t="shared" si="6"/>
        <v>#DIV/0!</v>
      </c>
      <c r="U14" s="347">
        <f>'4.sz.m.ÖNK kiadás'!U15</f>
        <v>0</v>
      </c>
      <c r="V14" s="285">
        <f>'4.sz.m.ÖNK kiadás'!V15</f>
        <v>0</v>
      </c>
      <c r="W14" s="285">
        <f>'4.sz.m.ÖNK kiadás'!W15</f>
        <v>0</v>
      </c>
      <c r="X14" s="285">
        <f>'4.sz.m.ÖNK kiadás'!X15</f>
        <v>0</v>
      </c>
      <c r="Y14" s="285">
        <f>'4.sz.m.ÖNK kiadás'!Y15</f>
        <v>0</v>
      </c>
      <c r="Z14" s="285">
        <f>'4.sz.m.ÖNK kiadás'!Z15</f>
        <v>0</v>
      </c>
      <c r="AA14" s="285">
        <f>'4.sz.m.ÖNK kiadás'!AA15</f>
        <v>0</v>
      </c>
      <c r="AB14" s="1080" t="e">
        <f>+AA14/Z14</f>
        <v>#DIV/0!</v>
      </c>
      <c r="AC14" s="347"/>
      <c r="AD14" s="285"/>
      <c r="AE14" s="285"/>
      <c r="AF14" s="285"/>
      <c r="AG14" s="285"/>
      <c r="AH14" s="285"/>
      <c r="AI14" s="285"/>
      <c r="AJ14" s="1080"/>
    </row>
    <row r="15" spans="1:36" s="5" customFormat="1" ht="33" customHeight="1" hidden="1" thickBot="1">
      <c r="A15" s="118"/>
      <c r="B15" s="105"/>
      <c r="C15" s="105" t="s">
        <v>89</v>
      </c>
      <c r="D15" s="341" t="s">
        <v>91</v>
      </c>
      <c r="E15" s="347"/>
      <c r="F15" s="285"/>
      <c r="G15" s="285"/>
      <c r="H15" s="285"/>
      <c r="I15" s="285"/>
      <c r="J15" s="285"/>
      <c r="K15" s="285"/>
      <c r="L15" s="1080" t="e">
        <f t="shared" si="4"/>
        <v>#DIV/0!</v>
      </c>
      <c r="M15" s="347"/>
      <c r="N15" s="285"/>
      <c r="O15" s="285"/>
      <c r="P15" s="285"/>
      <c r="Q15" s="285"/>
      <c r="R15" s="285"/>
      <c r="S15" s="285"/>
      <c r="T15" s="1080" t="e">
        <f t="shared" si="6"/>
        <v>#DIV/0!</v>
      </c>
      <c r="U15" s="347">
        <f>'4.sz.m.ÖNK kiadás'!U16</f>
        <v>0</v>
      </c>
      <c r="V15" s="285">
        <f>'4.sz.m.ÖNK kiadás'!V16</f>
        <v>0</v>
      </c>
      <c r="W15" s="285">
        <f>'4.sz.m.ÖNK kiadás'!W16</f>
        <v>0</v>
      </c>
      <c r="X15" s="285">
        <f>'4.sz.m.ÖNK kiadás'!X16</f>
        <v>0</v>
      </c>
      <c r="Y15" s="285">
        <f>'4.sz.m.ÖNK kiadás'!Y16</f>
        <v>0</v>
      </c>
      <c r="Z15" s="285">
        <f>'4.sz.m.ÖNK kiadás'!Z16</f>
        <v>0</v>
      </c>
      <c r="AA15" s="285">
        <f>'4.sz.m.ÖNK kiadás'!AA16</f>
        <v>0</v>
      </c>
      <c r="AB15" s="1080" t="e">
        <f>+AA15/Z15</f>
        <v>#DIV/0!</v>
      </c>
      <c r="AC15" s="347"/>
      <c r="AD15" s="285"/>
      <c r="AE15" s="285"/>
      <c r="AF15" s="285"/>
      <c r="AG15" s="285"/>
      <c r="AH15" s="285"/>
      <c r="AI15" s="285"/>
      <c r="AJ15" s="1080"/>
    </row>
    <row r="16" spans="1:36" s="5" customFormat="1" ht="33" customHeight="1" thickBot="1">
      <c r="A16" s="100" t="s">
        <v>28</v>
      </c>
      <c r="B16" s="1487" t="s">
        <v>92</v>
      </c>
      <c r="C16" s="1487"/>
      <c r="D16" s="1487"/>
      <c r="E16" s="348">
        <f aca="true" t="shared" si="8" ref="E16:R16">SUM(E17:E19)</f>
        <v>109800042</v>
      </c>
      <c r="F16" s="64">
        <f t="shared" si="8"/>
        <v>110307801</v>
      </c>
      <c r="G16" s="64">
        <f t="shared" si="8"/>
        <v>132292875</v>
      </c>
      <c r="H16" s="64">
        <f t="shared" si="8"/>
        <v>292483567</v>
      </c>
      <c r="I16" s="64">
        <f t="shared" si="8"/>
        <v>301386237</v>
      </c>
      <c r="J16" s="64">
        <f t="shared" si="8"/>
        <v>310133502</v>
      </c>
      <c r="K16" s="64">
        <f>SUM(K17:K19)</f>
        <v>104082320</v>
      </c>
      <c r="L16" s="1084">
        <f t="shared" si="4"/>
        <v>0.33560489056741766</v>
      </c>
      <c r="M16" s="348">
        <f t="shared" si="8"/>
        <v>106800042</v>
      </c>
      <c r="N16" s="64">
        <f t="shared" si="8"/>
        <v>107307801</v>
      </c>
      <c r="O16" s="64">
        <f t="shared" si="8"/>
        <v>129292875</v>
      </c>
      <c r="P16" s="64">
        <f t="shared" si="8"/>
        <v>289483567</v>
      </c>
      <c r="Q16" s="64">
        <f t="shared" si="8"/>
        <v>296516237</v>
      </c>
      <c r="R16" s="64">
        <f t="shared" si="8"/>
        <v>305263502</v>
      </c>
      <c r="S16" s="64">
        <f>SUM(S17:S19)</f>
        <v>99262320</v>
      </c>
      <c r="T16" s="1084">
        <f t="shared" si="6"/>
        <v>0.32516930242122427</v>
      </c>
      <c r="U16" s="348">
        <f aca="true" t="shared" si="9" ref="U16:Z16">SUM(U17:U19)</f>
        <v>3000000</v>
      </c>
      <c r="V16" s="64">
        <f t="shared" si="9"/>
        <v>3000000</v>
      </c>
      <c r="W16" s="64">
        <f t="shared" si="9"/>
        <v>3000000</v>
      </c>
      <c r="X16" s="64">
        <f t="shared" si="9"/>
        <v>3000000</v>
      </c>
      <c r="Y16" s="64">
        <f t="shared" si="9"/>
        <v>4870000</v>
      </c>
      <c r="Z16" s="64">
        <f t="shared" si="9"/>
        <v>4870000</v>
      </c>
      <c r="AA16" s="64">
        <f>SUM(AA17:AA19)</f>
        <v>4820000</v>
      </c>
      <c r="AB16" s="1084">
        <f>+AA16/Z16</f>
        <v>0.9897330595482546</v>
      </c>
      <c r="AC16" s="348">
        <f aca="true" t="shared" si="10" ref="AC16:AH16">SUM(AC17:AC19)</f>
        <v>0</v>
      </c>
      <c r="AD16" s="64">
        <f t="shared" si="10"/>
        <v>0</v>
      </c>
      <c r="AE16" s="64">
        <f t="shared" si="10"/>
        <v>0</v>
      </c>
      <c r="AF16" s="64">
        <f t="shared" si="10"/>
        <v>0</v>
      </c>
      <c r="AG16" s="64">
        <f t="shared" si="10"/>
        <v>0</v>
      </c>
      <c r="AH16" s="64">
        <f t="shared" si="10"/>
        <v>0</v>
      </c>
      <c r="AI16" s="64">
        <f>SUM(AI17:AI19)</f>
        <v>0</v>
      </c>
      <c r="AJ16" s="1084"/>
    </row>
    <row r="17" spans="1:36" s="5" customFormat="1" ht="33" customHeight="1">
      <c r="A17" s="99"/>
      <c r="B17" s="104" t="s">
        <v>39</v>
      </c>
      <c r="C17" s="1493" t="s">
        <v>93</v>
      </c>
      <c r="D17" s="1493"/>
      <c r="E17" s="347">
        <f>'4.sz.m.ÖNK kiadás'!E18+'5.1 sz. m Köz Hiv'!D41+'5.2 sz. m ÁMK'!D44+'üres lap'!D33</f>
        <v>12165042</v>
      </c>
      <c r="F17" s="285">
        <f>'4.sz.m.ÖNK kiadás'!F18+'5.1 sz. m Köz Hiv'!E41+'5.2 sz. m ÁMK'!E44+'üres lap'!E33</f>
        <v>12672801</v>
      </c>
      <c r="G17" s="285">
        <f>'4.sz.m.ÖNK kiadás'!G18+'5.1 sz. m Köz Hiv'!F41+'5.2 sz. m ÁMK'!F44+'üres lap'!F33</f>
        <v>13322601</v>
      </c>
      <c r="H17" s="285">
        <f>'4.sz.m.ÖNK kiadás'!H18+'5.1 sz. m Köz Hiv'!G41+'5.2 sz. m ÁMK'!G44+'üres lap'!G33</f>
        <v>99128123</v>
      </c>
      <c r="I17" s="285">
        <f>'4.sz.m.ÖNK kiadás'!I18+'5.1 sz. m Köz Hiv'!H41+'5.2 sz. m ÁMK'!H44+'üres lap'!H33</f>
        <v>99293593</v>
      </c>
      <c r="J17" s="285">
        <f>'4.sz.m.ÖNK kiadás'!J18+'5.1 sz. m Köz Hiv'!I41+'5.2 sz. m ÁMK'!I44+'üres lap'!I33</f>
        <v>99177577</v>
      </c>
      <c r="K17" s="285">
        <f>'4.sz.m.ÖNK kiadás'!K18+'5.1 sz. m Köz Hiv'!J41+'5.2 sz. m ÁMK'!J44+'üres lap'!J33</f>
        <v>10360242</v>
      </c>
      <c r="L17" s="1080">
        <f t="shared" si="4"/>
        <v>0.10446153569571477</v>
      </c>
      <c r="M17" s="347">
        <f>'4.sz.m.ÖNK kiadás'!M18+'5.1 sz. m Köz Hiv'!L41+'5.2 sz. m ÁMK'!L44</f>
        <v>12165042</v>
      </c>
      <c r="N17" s="285">
        <f>'4.sz.m.ÖNK kiadás'!N18+'5.1 sz. m Köz Hiv'!M41+'5.2 sz. m ÁMK'!M44</f>
        <v>12672801</v>
      </c>
      <c r="O17" s="285">
        <f>'4.sz.m.ÖNK kiadás'!O18+'5.1 sz. m Köz Hiv'!N41+'5.2 sz. m ÁMK'!N44</f>
        <v>13322601</v>
      </c>
      <c r="P17" s="285">
        <f>'4.sz.m.ÖNK kiadás'!P18+'5.1 sz. m Köz Hiv'!O41+'5.2 sz. m ÁMK'!O44+'üres lap'!M33</f>
        <v>99128123</v>
      </c>
      <c r="Q17" s="285">
        <f>'4.sz.m.ÖNK kiadás'!Q18+'5.1 sz. m Köz Hiv'!P41+'5.2 sz. m ÁMK'!P44+'üres lap'!N33</f>
        <v>99293593</v>
      </c>
      <c r="R17" s="285">
        <f>'4.sz.m.ÖNK kiadás'!R18+'5.1 sz. m Köz Hiv'!Q41+'5.2 sz. m ÁMK'!Q44+'üres lap'!O33</f>
        <v>99177577</v>
      </c>
      <c r="S17" s="285">
        <f>'4.sz.m.ÖNK kiadás'!S18+'5.1 sz. m Köz Hiv'!R41+'5.2 sz. m ÁMK'!R44+'üres lap'!P33</f>
        <v>10360242</v>
      </c>
      <c r="T17" s="1080">
        <f t="shared" si="6"/>
        <v>0.10446153569571477</v>
      </c>
      <c r="U17" s="347">
        <f>'4.sz.m.ÖNK kiadás'!U18</f>
        <v>0</v>
      </c>
      <c r="V17" s="285">
        <f>'4.sz.m.ÖNK kiadás'!V18</f>
        <v>0</v>
      </c>
      <c r="W17" s="285">
        <f>'4.sz.m.ÖNK kiadás'!W18</f>
        <v>0</v>
      </c>
      <c r="X17" s="285">
        <f>'4.sz.m.ÖNK kiadás'!X18</f>
        <v>0</v>
      </c>
      <c r="Y17" s="285">
        <f>'4.sz.m.ÖNK kiadás'!Y18</f>
        <v>0</v>
      </c>
      <c r="Z17" s="285">
        <f>'4.sz.m.ÖNK kiadás'!Z18</f>
        <v>0</v>
      </c>
      <c r="AA17" s="285">
        <f>'4.sz.m.ÖNK kiadás'!AA18</f>
        <v>0</v>
      </c>
      <c r="AB17" s="1080"/>
      <c r="AC17" s="347">
        <v>0</v>
      </c>
      <c r="AD17" s="285"/>
      <c r="AE17" s="285"/>
      <c r="AF17" s="285"/>
      <c r="AG17" s="285"/>
      <c r="AH17" s="285"/>
      <c r="AI17" s="285"/>
      <c r="AJ17" s="1080"/>
    </row>
    <row r="18" spans="1:36" s="5" customFormat="1" ht="33" customHeight="1">
      <c r="A18" s="82"/>
      <c r="B18" s="91" t="s">
        <v>40</v>
      </c>
      <c r="C18" s="1494" t="s">
        <v>94</v>
      </c>
      <c r="D18" s="1494"/>
      <c r="E18" s="347">
        <f>'4.sz.m.ÖNK kiadás'!E19</f>
        <v>94635000</v>
      </c>
      <c r="F18" s="285">
        <f>'4.sz.m.ÖNK kiadás'!F19+'5.2 sz. m ÁMK'!E46</f>
        <v>94635000</v>
      </c>
      <c r="G18" s="285">
        <f>'4.sz.m.ÖNK kiadás'!G19+'5.2 sz. m ÁMK'!F46</f>
        <v>115970274</v>
      </c>
      <c r="H18" s="285">
        <f>'4.sz.m.ÖNK kiadás'!H19+'5.2 sz. m ÁMK'!G46</f>
        <v>190355444</v>
      </c>
      <c r="I18" s="285">
        <f>'4.sz.m.ÖNK kiadás'!I19+'5.2 sz. m ÁMK'!H46</f>
        <v>197222644</v>
      </c>
      <c r="J18" s="285">
        <f>'4.sz.m.ÖNK kiadás'!J19+'5.2 sz. m ÁMK'!I46</f>
        <v>206085925</v>
      </c>
      <c r="K18" s="285">
        <f>'4.sz.m.ÖNK kiadás'!K19+'5.2 sz. m ÁMK'!J46</f>
        <v>88902078</v>
      </c>
      <c r="L18" s="1080">
        <f t="shared" si="4"/>
        <v>0.43138355033222187</v>
      </c>
      <c r="M18" s="347">
        <f>'4.sz.m.ÖNK kiadás'!M19+'5.1 sz. m Köz Hiv'!L42+'5.2 sz. m ÁMK'!L45</f>
        <v>94635000</v>
      </c>
      <c r="N18" s="285">
        <f>'4.sz.m.ÖNK kiadás'!N19+'5.1 sz. m Köz Hiv'!M42+'5.2 sz. m ÁMK'!M45</f>
        <v>94635000</v>
      </c>
      <c r="O18" s="285">
        <f>'4.sz.m.ÖNK kiadás'!O19+'5.1 sz. m Köz Hiv'!N42+'5.2 sz. m ÁMK'!N45</f>
        <v>115970274</v>
      </c>
      <c r="P18" s="285">
        <f>'4.sz.m.ÖNK kiadás'!P19+'5.2 sz. m ÁMK'!O46</f>
        <v>190355444</v>
      </c>
      <c r="Q18" s="285">
        <f>'4.sz.m.ÖNK kiadás'!Q19+'5.2 sz. m ÁMK'!P46</f>
        <v>197222644</v>
      </c>
      <c r="R18" s="285">
        <f>'4.sz.m.ÖNK kiadás'!R19+'5.2 sz. m ÁMK'!Q46</f>
        <v>206085925</v>
      </c>
      <c r="S18" s="285">
        <f>'4.sz.m.ÖNK kiadás'!S19+'5.2 sz. m ÁMK'!R46</f>
        <v>88902078</v>
      </c>
      <c r="T18" s="1080">
        <f t="shared" si="6"/>
        <v>0.43138355033222187</v>
      </c>
      <c r="U18" s="347">
        <f>'4.sz.m.ÖNK kiadás'!U19</f>
        <v>0</v>
      </c>
      <c r="V18" s="285">
        <f>'4.sz.m.ÖNK kiadás'!V19</f>
        <v>0</v>
      </c>
      <c r="W18" s="285">
        <f>'4.sz.m.ÖNK kiadás'!W19</f>
        <v>0</v>
      </c>
      <c r="X18" s="285">
        <f>'4.sz.m.ÖNK kiadás'!X19</f>
        <v>0</v>
      </c>
      <c r="Y18" s="285">
        <f>'4.sz.m.ÖNK kiadás'!Y19</f>
        <v>0</v>
      </c>
      <c r="Z18" s="285">
        <f>'4.sz.m.ÖNK kiadás'!Z19</f>
        <v>0</v>
      </c>
      <c r="AA18" s="285">
        <f>'4.sz.m.ÖNK kiadás'!AA19</f>
        <v>0</v>
      </c>
      <c r="AB18" s="1080"/>
      <c r="AC18" s="347">
        <v>0</v>
      </c>
      <c r="AD18" s="285"/>
      <c r="AE18" s="285"/>
      <c r="AF18" s="285"/>
      <c r="AG18" s="285"/>
      <c r="AH18" s="285"/>
      <c r="AI18" s="285"/>
      <c r="AJ18" s="1080"/>
    </row>
    <row r="19" spans="1:36" s="5" customFormat="1" ht="33" customHeight="1">
      <c r="A19" s="112"/>
      <c r="B19" s="91" t="s">
        <v>41</v>
      </c>
      <c r="C19" s="1484" t="s">
        <v>95</v>
      </c>
      <c r="D19" s="1484"/>
      <c r="E19" s="347">
        <f>'4.sz.m.ÖNK kiadás'!E20</f>
        <v>3000000</v>
      </c>
      <c r="F19" s="285">
        <f>'4.sz.m.ÖNK kiadás'!F20</f>
        <v>3000000</v>
      </c>
      <c r="G19" s="285">
        <f>'4.sz.m.ÖNK kiadás'!G20</f>
        <v>3000000</v>
      </c>
      <c r="H19" s="285">
        <f>'4.sz.m.ÖNK kiadás'!H20</f>
        <v>3000000</v>
      </c>
      <c r="I19" s="285">
        <f>'4.sz.m.ÖNK kiadás'!I20</f>
        <v>4870000</v>
      </c>
      <c r="J19" s="285">
        <f>'4.sz.m.ÖNK kiadás'!J20</f>
        <v>4870000</v>
      </c>
      <c r="K19" s="285">
        <f>'4.sz.m.ÖNK kiadás'!K20</f>
        <v>4820000</v>
      </c>
      <c r="L19" s="1080">
        <f t="shared" si="4"/>
        <v>0.9897330595482546</v>
      </c>
      <c r="M19" s="347">
        <f>'4.sz.m.ÖNK kiadás'!M20</f>
        <v>0</v>
      </c>
      <c r="N19" s="285">
        <f>'4.sz.m.ÖNK kiadás'!N20</f>
        <v>0</v>
      </c>
      <c r="O19" s="285">
        <f>'4.sz.m.ÖNK kiadás'!O20</f>
        <v>0</v>
      </c>
      <c r="P19" s="285">
        <f>'4.sz.m.ÖNK kiadás'!P20</f>
        <v>0</v>
      </c>
      <c r="Q19" s="285">
        <f>'4.sz.m.ÖNK kiadás'!Q20</f>
        <v>0</v>
      </c>
      <c r="R19" s="285">
        <f>'4.sz.m.ÖNK kiadás'!R20</f>
        <v>0</v>
      </c>
      <c r="S19" s="285">
        <f>'4.sz.m.ÖNK kiadás'!S20</f>
        <v>0</v>
      </c>
      <c r="T19" s="1080"/>
      <c r="U19" s="347">
        <f>'4.sz.m.ÖNK kiadás'!U20</f>
        <v>3000000</v>
      </c>
      <c r="V19" s="285">
        <f>'4.sz.m.ÖNK kiadás'!V20</f>
        <v>3000000</v>
      </c>
      <c r="W19" s="285">
        <f>'4.sz.m.ÖNK kiadás'!W20</f>
        <v>3000000</v>
      </c>
      <c r="X19" s="285">
        <f>'4.sz.m.ÖNK kiadás'!X20</f>
        <v>3000000</v>
      </c>
      <c r="Y19" s="285">
        <f>'4.sz.m.ÖNK kiadás'!Y20</f>
        <v>4870000</v>
      </c>
      <c r="Z19" s="285">
        <f>'4.sz.m.ÖNK kiadás'!Z20</f>
        <v>4870000</v>
      </c>
      <c r="AA19" s="285">
        <f>'4.sz.m.ÖNK kiadás'!AA20</f>
        <v>4820000</v>
      </c>
      <c r="AB19" s="1080">
        <f>+AA19/Z19</f>
        <v>0.9897330595482546</v>
      </c>
      <c r="AC19" s="347">
        <v>0</v>
      </c>
      <c r="AD19" s="285"/>
      <c r="AE19" s="285"/>
      <c r="AF19" s="285"/>
      <c r="AG19" s="285"/>
      <c r="AH19" s="285"/>
      <c r="AI19" s="285"/>
      <c r="AJ19" s="1080"/>
    </row>
    <row r="20" spans="1:36" s="5" customFormat="1" ht="33" customHeight="1">
      <c r="A20" s="88"/>
      <c r="B20" s="92"/>
      <c r="C20" s="92" t="s">
        <v>96</v>
      </c>
      <c r="D20" s="242" t="s">
        <v>86</v>
      </c>
      <c r="E20" s="347">
        <f>'4.sz.m.ÖNK kiadás'!E21</f>
        <v>3000000</v>
      </c>
      <c r="F20" s="285">
        <f>'4.sz.m.ÖNK kiadás'!F21</f>
        <v>3000000</v>
      </c>
      <c r="G20" s="285">
        <f>'4.sz.m.ÖNK kiadás'!G21</f>
        <v>3000000</v>
      </c>
      <c r="H20" s="285">
        <f>'4.sz.m.ÖNK kiadás'!H21</f>
        <v>3000000</v>
      </c>
      <c r="I20" s="285">
        <f>'4.sz.m.ÖNK kiadás'!I21</f>
        <v>4870000</v>
      </c>
      <c r="J20" s="285">
        <f>'4.sz.m.ÖNK kiadás'!J21</f>
        <v>4870000</v>
      </c>
      <c r="K20" s="285">
        <f>'4.sz.m.ÖNK kiadás'!K21</f>
        <v>4820000</v>
      </c>
      <c r="L20" s="1080">
        <f t="shared" si="4"/>
        <v>0.9897330595482546</v>
      </c>
      <c r="M20" s="347">
        <f>'4.sz.m.ÖNK kiadás'!M21</f>
        <v>0</v>
      </c>
      <c r="N20" s="285">
        <f>'4.sz.m.ÖNK kiadás'!N21</f>
        <v>0</v>
      </c>
      <c r="O20" s="285">
        <f>'4.sz.m.ÖNK kiadás'!O21</f>
        <v>0</v>
      </c>
      <c r="P20" s="285">
        <f>'4.sz.m.ÖNK kiadás'!P21</f>
        <v>0</v>
      </c>
      <c r="Q20" s="285">
        <f>'4.sz.m.ÖNK kiadás'!Q21</f>
        <v>0</v>
      </c>
      <c r="R20" s="285">
        <f>'4.sz.m.ÖNK kiadás'!R21</f>
        <v>0</v>
      </c>
      <c r="S20" s="285">
        <f>'4.sz.m.ÖNK kiadás'!S21</f>
        <v>0</v>
      </c>
      <c r="T20" s="1080"/>
      <c r="U20" s="347">
        <f>'4.sz.m.ÖNK kiadás'!U21</f>
        <v>3000000</v>
      </c>
      <c r="V20" s="285">
        <f>'4.sz.m.ÖNK kiadás'!V21</f>
        <v>3000000</v>
      </c>
      <c r="W20" s="285">
        <f>'4.sz.m.ÖNK kiadás'!W21</f>
        <v>3000000</v>
      </c>
      <c r="X20" s="285">
        <f>'4.sz.m.ÖNK kiadás'!X21</f>
        <v>3000000</v>
      </c>
      <c r="Y20" s="285">
        <f>'4.sz.m.ÖNK kiadás'!Y21</f>
        <v>4870000</v>
      </c>
      <c r="Z20" s="285">
        <f>'4.sz.m.ÖNK kiadás'!Z21</f>
        <v>4870000</v>
      </c>
      <c r="AA20" s="285">
        <f>'4.sz.m.ÖNK kiadás'!AA21</f>
        <v>4820000</v>
      </c>
      <c r="AB20" s="1080">
        <f>+AA20/Z20</f>
        <v>0.9897330595482546</v>
      </c>
      <c r="AC20" s="347">
        <v>0</v>
      </c>
      <c r="AD20" s="285"/>
      <c r="AE20" s="285"/>
      <c r="AF20" s="285"/>
      <c r="AG20" s="285"/>
      <c r="AH20" s="285"/>
      <c r="AI20" s="285"/>
      <c r="AJ20" s="1080"/>
    </row>
    <row r="21" spans="1:36" s="5" customFormat="1" ht="33" customHeight="1">
      <c r="A21" s="88"/>
      <c r="B21" s="92"/>
      <c r="C21" s="92" t="s">
        <v>97</v>
      </c>
      <c r="D21" s="242" t="s">
        <v>87</v>
      </c>
      <c r="E21" s="347">
        <f>'4.sz.m.ÖNK kiadás'!E22</f>
        <v>0</v>
      </c>
      <c r="F21" s="285">
        <f>'4.sz.m.ÖNK kiadás'!F22</f>
        <v>0</v>
      </c>
      <c r="G21" s="285">
        <f>'4.sz.m.ÖNK kiadás'!G22</f>
        <v>0</v>
      </c>
      <c r="H21" s="285">
        <f>'4.sz.m.ÖNK kiadás'!H22</f>
        <v>0</v>
      </c>
      <c r="I21" s="285">
        <f>'4.sz.m.ÖNK kiadás'!I22</f>
        <v>0</v>
      </c>
      <c r="J21" s="285">
        <f>'4.sz.m.ÖNK kiadás'!J22</f>
        <v>0</v>
      </c>
      <c r="K21" s="285">
        <f>'4.sz.m.ÖNK kiadás'!K22</f>
        <v>0</v>
      </c>
      <c r="L21" s="1080"/>
      <c r="M21" s="347">
        <f>'4.sz.m.ÖNK kiadás'!M22</f>
        <v>0</v>
      </c>
      <c r="N21" s="285">
        <f>'4.sz.m.ÖNK kiadás'!N22</f>
        <v>0</v>
      </c>
      <c r="O21" s="285">
        <f>'4.sz.m.ÖNK kiadás'!O22</f>
        <v>0</v>
      </c>
      <c r="P21" s="285">
        <f>'4.sz.m.ÖNK kiadás'!P22</f>
        <v>0</v>
      </c>
      <c r="Q21" s="285">
        <f>'4.sz.m.ÖNK kiadás'!Q22</f>
        <v>0</v>
      </c>
      <c r="R21" s="285">
        <f>'4.sz.m.ÖNK kiadás'!R22</f>
        <v>0</v>
      </c>
      <c r="S21" s="285">
        <f>'4.sz.m.ÖNK kiadás'!S22</f>
        <v>0</v>
      </c>
      <c r="T21" s="1080"/>
      <c r="U21" s="347">
        <v>0</v>
      </c>
      <c r="V21" s="285"/>
      <c r="W21" s="285"/>
      <c r="X21" s="285"/>
      <c r="Y21" s="285"/>
      <c r="Z21" s="285"/>
      <c r="AA21" s="285"/>
      <c r="AB21" s="1080"/>
      <c r="AC21" s="347">
        <v>0</v>
      </c>
      <c r="AD21" s="285"/>
      <c r="AE21" s="285"/>
      <c r="AF21" s="285"/>
      <c r="AG21" s="285"/>
      <c r="AH21" s="285"/>
      <c r="AI21" s="285"/>
      <c r="AJ21" s="1080"/>
    </row>
    <row r="22" spans="1:36" s="5" customFormat="1" ht="33" customHeight="1">
      <c r="A22" s="112"/>
      <c r="B22" s="242"/>
      <c r="C22" s="92" t="s">
        <v>98</v>
      </c>
      <c r="D22" s="242" t="s">
        <v>486</v>
      </c>
      <c r="E22" s="347">
        <f>'4.sz.m.ÖNK kiadás'!E23</f>
        <v>0</v>
      </c>
      <c r="F22" s="285">
        <f>'4.sz.m.ÖNK kiadás'!F23</f>
        <v>0</v>
      </c>
      <c r="G22" s="285">
        <f>'4.sz.m.ÖNK kiadás'!G23</f>
        <v>0</v>
      </c>
      <c r="H22" s="285">
        <f>'4.sz.m.ÖNK kiadás'!H23</f>
        <v>0</v>
      </c>
      <c r="I22" s="285">
        <f>'4.sz.m.ÖNK kiadás'!I23</f>
        <v>0</v>
      </c>
      <c r="J22" s="285">
        <f>'4.sz.m.ÖNK kiadás'!J23</f>
        <v>0</v>
      </c>
      <c r="K22" s="285">
        <f>'4.sz.m.ÖNK kiadás'!K23</f>
        <v>0</v>
      </c>
      <c r="L22" s="1080"/>
      <c r="M22" s="347">
        <f>'4.sz.m.ÖNK kiadás'!M23</f>
        <v>0</v>
      </c>
      <c r="N22" s="285">
        <f>'4.sz.m.ÖNK kiadás'!N23</f>
        <v>0</v>
      </c>
      <c r="O22" s="285">
        <f>'4.sz.m.ÖNK kiadás'!O23</f>
        <v>0</v>
      </c>
      <c r="P22" s="285">
        <f>'4.sz.m.ÖNK kiadás'!P23</f>
        <v>0</v>
      </c>
      <c r="Q22" s="285">
        <f>'4.sz.m.ÖNK kiadás'!Q23</f>
        <v>0</v>
      </c>
      <c r="R22" s="285">
        <f>'4.sz.m.ÖNK kiadás'!R23</f>
        <v>0</v>
      </c>
      <c r="S22" s="285">
        <f>'4.sz.m.ÖNK kiadás'!S23</f>
        <v>0</v>
      </c>
      <c r="T22" s="1080"/>
      <c r="U22" s="347">
        <v>0</v>
      </c>
      <c r="V22" s="285"/>
      <c r="W22" s="285"/>
      <c r="X22" s="285">
        <f>'4.sz.m.ÖNK kiadás'!X23</f>
        <v>0</v>
      </c>
      <c r="Y22" s="285">
        <f>'4.sz.m.ÖNK kiadás'!Y23</f>
        <v>0</v>
      </c>
      <c r="Z22" s="285">
        <f>'4.sz.m.ÖNK kiadás'!Z23</f>
        <v>0</v>
      </c>
      <c r="AA22" s="285">
        <f>'4.sz.m.ÖNK kiadás'!AA23</f>
        <v>0</v>
      </c>
      <c r="AB22" s="1080"/>
      <c r="AC22" s="347">
        <v>0</v>
      </c>
      <c r="AD22" s="285"/>
      <c r="AE22" s="285"/>
      <c r="AF22" s="285"/>
      <c r="AG22" s="285"/>
      <c r="AH22" s="285"/>
      <c r="AI22" s="285"/>
      <c r="AJ22" s="1080"/>
    </row>
    <row r="23" spans="1:36" s="5" customFormat="1" ht="33" customHeight="1" thickBot="1">
      <c r="A23" s="267"/>
      <c r="B23" s="268"/>
      <c r="C23" s="269" t="s">
        <v>208</v>
      </c>
      <c r="D23" s="268" t="s">
        <v>209</v>
      </c>
      <c r="E23" s="347">
        <f>'4.sz.m.ÖNK kiadás'!E24</f>
        <v>0</v>
      </c>
      <c r="F23" s="285">
        <f>'4.sz.m.ÖNK kiadás'!F24</f>
        <v>0</v>
      </c>
      <c r="G23" s="285">
        <f>'4.sz.m.ÖNK kiadás'!G24</f>
        <v>0</v>
      </c>
      <c r="H23" s="285">
        <f>'4.sz.m.ÖNK kiadás'!H24</f>
        <v>0</v>
      </c>
      <c r="I23" s="285">
        <f>'4.sz.m.ÖNK kiadás'!I24</f>
        <v>0</v>
      </c>
      <c r="J23" s="285">
        <f>'4.sz.m.ÖNK kiadás'!J24</f>
        <v>0</v>
      </c>
      <c r="K23" s="285">
        <f>'4.sz.m.ÖNK kiadás'!K24</f>
        <v>0</v>
      </c>
      <c r="L23" s="1080"/>
      <c r="M23" s="347">
        <f>'4.sz.m.ÖNK kiadás'!M24</f>
        <v>0</v>
      </c>
      <c r="N23" s="285">
        <f>'4.sz.m.ÖNK kiadás'!N24</f>
        <v>0</v>
      </c>
      <c r="O23" s="285">
        <f>'4.sz.m.ÖNK kiadás'!O24</f>
        <v>0</v>
      </c>
      <c r="P23" s="285">
        <f>'4.sz.m.ÖNK kiadás'!P24</f>
        <v>0</v>
      </c>
      <c r="Q23" s="285">
        <f>'4.sz.m.ÖNK kiadás'!Q24</f>
        <v>0</v>
      </c>
      <c r="R23" s="285">
        <f>'4.sz.m.ÖNK kiadás'!R24</f>
        <v>0</v>
      </c>
      <c r="S23" s="285">
        <f>'4.sz.m.ÖNK kiadás'!S24</f>
        <v>0</v>
      </c>
      <c r="T23" s="1080"/>
      <c r="U23" s="347">
        <v>0</v>
      </c>
      <c r="V23" s="285"/>
      <c r="W23" s="285"/>
      <c r="X23" s="285"/>
      <c r="Y23" s="285"/>
      <c r="Z23" s="285"/>
      <c r="AA23" s="285"/>
      <c r="AB23" s="1080"/>
      <c r="AC23" s="347">
        <v>0</v>
      </c>
      <c r="AD23" s="285"/>
      <c r="AE23" s="285"/>
      <c r="AF23" s="285"/>
      <c r="AG23" s="285"/>
      <c r="AH23" s="285"/>
      <c r="AI23" s="285"/>
      <c r="AJ23" s="1080"/>
    </row>
    <row r="24" spans="1:36" s="5" customFormat="1" ht="33" customHeight="1" thickBot="1">
      <c r="A24" s="100" t="s">
        <v>10</v>
      </c>
      <c r="B24" s="1487" t="s">
        <v>99</v>
      </c>
      <c r="C24" s="1487"/>
      <c r="D24" s="1487"/>
      <c r="E24" s="348">
        <f aca="true" t="shared" si="11" ref="E24:R24">SUM(E25:E27)</f>
        <v>77908803</v>
      </c>
      <c r="F24" s="64">
        <f t="shared" si="11"/>
        <v>75176682</v>
      </c>
      <c r="G24" s="64">
        <f t="shared" si="11"/>
        <v>54733454</v>
      </c>
      <c r="H24" s="64">
        <f t="shared" si="11"/>
        <v>63534084</v>
      </c>
      <c r="I24" s="64">
        <f t="shared" si="11"/>
        <v>57410165</v>
      </c>
      <c r="J24" s="64">
        <f t="shared" si="11"/>
        <v>0</v>
      </c>
      <c r="K24" s="64">
        <f>SUM(K25:K27)</f>
        <v>0</v>
      </c>
      <c r="L24" s="1084"/>
      <c r="M24" s="348">
        <f t="shared" si="11"/>
        <v>77908803</v>
      </c>
      <c r="N24" s="64">
        <f t="shared" si="11"/>
        <v>75176682</v>
      </c>
      <c r="O24" s="64">
        <f t="shared" si="11"/>
        <v>54733454</v>
      </c>
      <c r="P24" s="64">
        <f t="shared" si="11"/>
        <v>63534084</v>
      </c>
      <c r="Q24" s="64">
        <f t="shared" si="11"/>
        <v>57410165</v>
      </c>
      <c r="R24" s="64">
        <f t="shared" si="11"/>
        <v>0</v>
      </c>
      <c r="S24" s="64">
        <f>SUM(S25:S27)</f>
        <v>0</v>
      </c>
      <c r="T24" s="1084"/>
      <c r="U24" s="348">
        <f aca="true" t="shared" si="12" ref="U24:AA24">SUM(U25:U27)</f>
        <v>0</v>
      </c>
      <c r="V24" s="64">
        <f t="shared" si="12"/>
        <v>0</v>
      </c>
      <c r="W24" s="64">
        <f t="shared" si="12"/>
        <v>0</v>
      </c>
      <c r="X24" s="64">
        <f t="shared" si="12"/>
        <v>0</v>
      </c>
      <c r="Y24" s="64">
        <f t="shared" si="12"/>
        <v>0</v>
      </c>
      <c r="Z24" s="64">
        <f t="shared" si="12"/>
        <v>0</v>
      </c>
      <c r="AA24" s="64">
        <f t="shared" si="12"/>
        <v>0</v>
      </c>
      <c r="AB24" s="1084"/>
      <c r="AC24" s="348">
        <f aca="true" t="shared" si="13" ref="AC24:AI24">SUM(AC25:AC27)</f>
        <v>0</v>
      </c>
      <c r="AD24" s="64">
        <f t="shared" si="13"/>
        <v>0</v>
      </c>
      <c r="AE24" s="64">
        <f t="shared" si="13"/>
        <v>0</v>
      </c>
      <c r="AF24" s="64">
        <f t="shared" si="13"/>
        <v>0</v>
      </c>
      <c r="AG24" s="64">
        <f t="shared" si="13"/>
        <v>0</v>
      </c>
      <c r="AH24" s="64">
        <f t="shared" si="13"/>
        <v>0</v>
      </c>
      <c r="AI24" s="64">
        <f t="shared" si="13"/>
        <v>0</v>
      </c>
      <c r="AJ24" s="1084"/>
    </row>
    <row r="25" spans="1:36" s="5" customFormat="1" ht="33" customHeight="1">
      <c r="A25" s="99"/>
      <c r="B25" s="104" t="s">
        <v>42</v>
      </c>
      <c r="C25" s="1493" t="s">
        <v>3</v>
      </c>
      <c r="D25" s="1493"/>
      <c r="E25" s="347">
        <f>'4.sz.m.ÖNK kiadás'!E26</f>
        <v>77908803</v>
      </c>
      <c r="F25" s="285">
        <f>'4.sz.m.ÖNK kiadás'!F26</f>
        <v>75176682</v>
      </c>
      <c r="G25" s="285">
        <f>'4.sz.m.ÖNK kiadás'!G26</f>
        <v>54733454</v>
      </c>
      <c r="H25" s="285">
        <f>'4.sz.m.ÖNK kiadás'!H26</f>
        <v>63534084</v>
      </c>
      <c r="I25" s="285">
        <f>'4.sz.m.ÖNK kiadás'!I26</f>
        <v>57410165</v>
      </c>
      <c r="J25" s="285">
        <f>'4.sz.m.ÖNK kiadás'!J26</f>
        <v>0</v>
      </c>
      <c r="K25" s="285">
        <f>'4.sz.m.ÖNK kiadás'!K26</f>
        <v>0</v>
      </c>
      <c r="L25" s="1127"/>
      <c r="M25" s="347">
        <f>'4.sz.m.ÖNK kiadás'!M26</f>
        <v>77908803</v>
      </c>
      <c r="N25" s="285">
        <f>'4.sz.m.ÖNK kiadás'!N26</f>
        <v>75176682</v>
      </c>
      <c r="O25" s="285">
        <f>'4.sz.m.ÖNK kiadás'!O26</f>
        <v>54733454</v>
      </c>
      <c r="P25" s="285">
        <f>'4.sz.m.ÖNK kiadás'!P26</f>
        <v>63534084</v>
      </c>
      <c r="Q25" s="285">
        <f>'4.sz.m.ÖNK kiadás'!Q26</f>
        <v>57410165</v>
      </c>
      <c r="R25" s="285">
        <f>'4.sz.m.ÖNK kiadás'!R26</f>
        <v>0</v>
      </c>
      <c r="S25" s="285">
        <f>'4.sz.m.ÖNK kiadás'!S26</f>
        <v>0</v>
      </c>
      <c r="T25" s="1127"/>
      <c r="U25" s="347">
        <v>0</v>
      </c>
      <c r="V25" s="285"/>
      <c r="W25" s="285"/>
      <c r="X25" s="285"/>
      <c r="Y25" s="285"/>
      <c r="Z25" s="285"/>
      <c r="AA25" s="285"/>
      <c r="AB25" s="1127"/>
      <c r="AC25" s="347">
        <v>0</v>
      </c>
      <c r="AD25" s="285"/>
      <c r="AE25" s="285"/>
      <c r="AF25" s="285"/>
      <c r="AG25" s="285"/>
      <c r="AH25" s="285"/>
      <c r="AI25" s="285"/>
      <c r="AJ25" s="1127"/>
    </row>
    <row r="26" spans="1:36" s="8" customFormat="1" ht="33" customHeight="1">
      <c r="A26" s="113"/>
      <c r="B26" s="91" t="s">
        <v>43</v>
      </c>
      <c r="C26" s="1492" t="s">
        <v>279</v>
      </c>
      <c r="D26" s="1492"/>
      <c r="E26" s="347">
        <v>0</v>
      </c>
      <c r="F26" s="285"/>
      <c r="G26" s="285"/>
      <c r="H26" s="285"/>
      <c r="I26" s="285"/>
      <c r="J26" s="285"/>
      <c r="K26" s="285"/>
      <c r="L26" s="1080"/>
      <c r="M26" s="347">
        <v>0</v>
      </c>
      <c r="N26" s="285"/>
      <c r="O26" s="285"/>
      <c r="P26" s="285"/>
      <c r="Q26" s="285"/>
      <c r="R26" s="285"/>
      <c r="S26" s="285"/>
      <c r="T26" s="1080"/>
      <c r="U26" s="347">
        <v>0</v>
      </c>
      <c r="V26" s="285"/>
      <c r="W26" s="285"/>
      <c r="X26" s="285"/>
      <c r="Y26" s="285"/>
      <c r="Z26" s="285"/>
      <c r="AA26" s="285"/>
      <c r="AB26" s="1080"/>
      <c r="AC26" s="347">
        <v>0</v>
      </c>
      <c r="AD26" s="285"/>
      <c r="AE26" s="285"/>
      <c r="AF26" s="285"/>
      <c r="AG26" s="285"/>
      <c r="AH26" s="285"/>
      <c r="AI26" s="285"/>
      <c r="AJ26" s="1080"/>
    </row>
    <row r="27" spans="1:36" s="8" customFormat="1" ht="33" customHeight="1" thickBot="1">
      <c r="A27" s="119"/>
      <c r="B27" s="105" t="s">
        <v>67</v>
      </c>
      <c r="C27" s="120" t="s">
        <v>100</v>
      </c>
      <c r="D27" s="120"/>
      <c r="E27" s="347">
        <v>0</v>
      </c>
      <c r="F27" s="285"/>
      <c r="G27" s="285"/>
      <c r="H27" s="285"/>
      <c r="I27" s="285"/>
      <c r="J27" s="285"/>
      <c r="K27" s="285"/>
      <c r="L27" s="1080"/>
      <c r="M27" s="347">
        <v>0</v>
      </c>
      <c r="N27" s="285"/>
      <c r="O27" s="285"/>
      <c r="P27" s="285"/>
      <c r="Q27" s="285"/>
      <c r="R27" s="285"/>
      <c r="S27" s="285"/>
      <c r="T27" s="1080"/>
      <c r="U27" s="347">
        <v>0</v>
      </c>
      <c r="V27" s="285"/>
      <c r="W27" s="285"/>
      <c r="X27" s="285"/>
      <c r="Y27" s="285"/>
      <c r="Z27" s="285"/>
      <c r="AA27" s="285"/>
      <c r="AB27" s="1080"/>
      <c r="AC27" s="347">
        <v>0</v>
      </c>
      <c r="AD27" s="285"/>
      <c r="AE27" s="285"/>
      <c r="AF27" s="285"/>
      <c r="AG27" s="285"/>
      <c r="AH27" s="285"/>
      <c r="AI27" s="285"/>
      <c r="AJ27" s="1080"/>
    </row>
    <row r="28" spans="1:36" s="8" customFormat="1" ht="33" customHeight="1" thickBot="1">
      <c r="A28" s="80" t="s">
        <v>11</v>
      </c>
      <c r="B28" s="106" t="s">
        <v>101</v>
      </c>
      <c r="C28" s="106"/>
      <c r="D28" s="106"/>
      <c r="E28" s="349">
        <v>0</v>
      </c>
      <c r="F28" s="350">
        <v>0</v>
      </c>
      <c r="G28" s="350">
        <v>0</v>
      </c>
      <c r="H28" s="350">
        <v>0</v>
      </c>
      <c r="I28" s="350">
        <v>0</v>
      </c>
      <c r="J28" s="350">
        <v>0</v>
      </c>
      <c r="K28" s="350">
        <v>0</v>
      </c>
      <c r="L28" s="1087"/>
      <c r="M28" s="349">
        <v>0</v>
      </c>
      <c r="N28" s="350">
        <v>0</v>
      </c>
      <c r="O28" s="350">
        <v>0</v>
      </c>
      <c r="P28" s="350">
        <v>0</v>
      </c>
      <c r="Q28" s="350">
        <v>0</v>
      </c>
      <c r="R28" s="350"/>
      <c r="S28" s="350"/>
      <c r="T28" s="1087"/>
      <c r="U28" s="349">
        <v>0</v>
      </c>
      <c r="V28" s="350"/>
      <c r="W28" s="350"/>
      <c r="X28" s="350"/>
      <c r="Y28" s="350"/>
      <c r="Z28" s="350"/>
      <c r="AA28" s="350"/>
      <c r="AB28" s="1087"/>
      <c r="AC28" s="349">
        <v>0</v>
      </c>
      <c r="AD28" s="350"/>
      <c r="AE28" s="350"/>
      <c r="AF28" s="350"/>
      <c r="AG28" s="350"/>
      <c r="AH28" s="350"/>
      <c r="AI28" s="350"/>
      <c r="AJ28" s="1087"/>
    </row>
    <row r="29" spans="1:36" s="8" customFormat="1" ht="33" customHeight="1" thickBot="1">
      <c r="A29" s="100" t="s">
        <v>12</v>
      </c>
      <c r="B29" s="1447" t="s">
        <v>102</v>
      </c>
      <c r="C29" s="1447"/>
      <c r="D29" s="1447"/>
      <c r="E29" s="346">
        <f aca="true" t="shared" si="14" ref="E29:N29">E5+E16+E24+E28</f>
        <v>658535024</v>
      </c>
      <c r="F29" s="284">
        <f t="shared" si="14"/>
        <v>658535024</v>
      </c>
      <c r="G29" s="284">
        <f t="shared" si="14"/>
        <v>664029089</v>
      </c>
      <c r="H29" s="284">
        <f t="shared" si="14"/>
        <v>841359711</v>
      </c>
      <c r="I29" s="284">
        <f>I5+I16+I24+I28</f>
        <v>851950443</v>
      </c>
      <c r="J29" s="284">
        <f>J5+J16+J24+J28</f>
        <v>879218341</v>
      </c>
      <c r="K29" s="284">
        <f>K5+K16+K24+K28</f>
        <v>547924301</v>
      </c>
      <c r="L29" s="1079">
        <f t="shared" si="4"/>
        <v>0.6231948032121409</v>
      </c>
      <c r="M29" s="346">
        <f t="shared" si="14"/>
        <v>637589542</v>
      </c>
      <c r="N29" s="284">
        <f t="shared" si="14"/>
        <v>635599041</v>
      </c>
      <c r="O29" s="284">
        <f>O5+O16+O24+O28</f>
        <v>641248365</v>
      </c>
      <c r="P29" s="284">
        <f>P5+P16+P24+P28</f>
        <v>818578986</v>
      </c>
      <c r="Q29" s="284">
        <f>Q5+Q16+Q24+Q28</f>
        <v>829099717</v>
      </c>
      <c r="R29" s="284">
        <f>R5+R16+R24+R28</f>
        <v>859067710</v>
      </c>
      <c r="S29" s="284">
        <f>S5+S16+S24+S28</f>
        <v>531289859</v>
      </c>
      <c r="T29" s="1079">
        <f t="shared" si="6"/>
        <v>0.6184493408557982</v>
      </c>
      <c r="U29" s="346">
        <f aca="true" t="shared" si="15" ref="U29:AH29">U5+U16+U24+U28</f>
        <v>20945482</v>
      </c>
      <c r="V29" s="284">
        <f t="shared" si="15"/>
        <v>22935983</v>
      </c>
      <c r="W29" s="284">
        <f>W5+W16+W24+W28</f>
        <v>22780724</v>
      </c>
      <c r="X29" s="284">
        <f t="shared" si="15"/>
        <v>22780725</v>
      </c>
      <c r="Y29" s="284">
        <f t="shared" si="15"/>
        <v>22850726</v>
      </c>
      <c r="Z29" s="284">
        <f>Z5+Z16+Z24+Z28</f>
        <v>20150631</v>
      </c>
      <c r="AA29" s="284">
        <f>AA5+AA16+AA24+AA28</f>
        <v>16634442</v>
      </c>
      <c r="AB29" s="1079">
        <f>+AA29/Z29</f>
        <v>0.825504769552874</v>
      </c>
      <c r="AC29" s="346">
        <f t="shared" si="15"/>
        <v>5610894</v>
      </c>
      <c r="AD29" s="284">
        <f t="shared" si="15"/>
        <v>5610894</v>
      </c>
      <c r="AE29" s="284">
        <f t="shared" si="15"/>
        <v>5610894</v>
      </c>
      <c r="AF29" s="284">
        <f t="shared" si="15"/>
        <v>5610894</v>
      </c>
      <c r="AG29" s="284">
        <f t="shared" si="15"/>
        <v>5610894</v>
      </c>
      <c r="AH29" s="284">
        <f t="shared" si="15"/>
        <v>5610894</v>
      </c>
      <c r="AI29" s="284">
        <f>AI5+AI16+AI24+AI28</f>
        <v>5610894</v>
      </c>
      <c r="AJ29" s="1079">
        <f>+AI29/AH29</f>
        <v>1</v>
      </c>
    </row>
    <row r="30" spans="1:36" s="8" customFormat="1" ht="33" customHeight="1" thickBot="1">
      <c r="A30" s="78" t="s">
        <v>13</v>
      </c>
      <c r="B30" s="1495" t="s">
        <v>210</v>
      </c>
      <c r="C30" s="1495"/>
      <c r="D30" s="1495"/>
      <c r="E30" s="351">
        <f>SUM(E31:E33)</f>
        <v>40646159</v>
      </c>
      <c r="F30" s="103">
        <f aca="true" t="shared" si="16" ref="F30:N30">SUM(F31:F33)</f>
        <v>40646159</v>
      </c>
      <c r="G30" s="351">
        <f t="shared" si="16"/>
        <v>40646159</v>
      </c>
      <c r="H30" s="351">
        <f>SUM(H31:H33)</f>
        <v>40646159</v>
      </c>
      <c r="I30" s="351">
        <f>SUM(I31:I33)</f>
        <v>40646159</v>
      </c>
      <c r="J30" s="351">
        <f>SUM(J31:J33)</f>
        <v>40646159</v>
      </c>
      <c r="K30" s="351">
        <f>SUM(K31:K33)</f>
        <v>40646159</v>
      </c>
      <c r="L30" s="1079">
        <f t="shared" si="4"/>
        <v>1</v>
      </c>
      <c r="M30" s="351">
        <f t="shared" si="16"/>
        <v>40646159</v>
      </c>
      <c r="N30" s="103">
        <f t="shared" si="16"/>
        <v>40646159</v>
      </c>
      <c r="O30" s="103">
        <f>SUM(O31:O33)</f>
        <v>40646159</v>
      </c>
      <c r="P30" s="103">
        <f>SUM(P31:P33)</f>
        <v>40646159</v>
      </c>
      <c r="Q30" s="103">
        <f>SUM(Q31:Q33)</f>
        <v>40646159</v>
      </c>
      <c r="R30" s="103">
        <f>SUM(R31:R33)</f>
        <v>40646159</v>
      </c>
      <c r="S30" s="103">
        <f>SUM(S31:S33)</f>
        <v>40646159</v>
      </c>
      <c r="T30" s="1079">
        <f t="shared" si="6"/>
        <v>1</v>
      </c>
      <c r="U30" s="351"/>
      <c r="V30" s="103"/>
      <c r="W30" s="103"/>
      <c r="X30" s="103"/>
      <c r="Y30" s="103"/>
      <c r="Z30" s="103"/>
      <c r="AA30" s="103"/>
      <c r="AB30" s="1079"/>
      <c r="AC30" s="351"/>
      <c r="AD30" s="103"/>
      <c r="AE30" s="103"/>
      <c r="AF30" s="103"/>
      <c r="AG30" s="103"/>
      <c r="AH30" s="103"/>
      <c r="AI30" s="103"/>
      <c r="AJ30" s="1079"/>
    </row>
    <row r="31" spans="1:36" s="5" customFormat="1" ht="33" customHeight="1">
      <c r="A31" s="122"/>
      <c r="B31" s="104" t="s">
        <v>46</v>
      </c>
      <c r="C31" s="1448" t="s">
        <v>281</v>
      </c>
      <c r="D31" s="1448"/>
      <c r="E31" s="352">
        <f>'4.sz.m.ÖNK kiadás'!E33</f>
        <v>3023740</v>
      </c>
      <c r="F31" s="121">
        <f>'4.sz.m.ÖNK kiadás'!F33</f>
        <v>3023740</v>
      </c>
      <c r="G31" s="121">
        <f>'4.sz.m.ÖNK kiadás'!G33</f>
        <v>3023740</v>
      </c>
      <c r="H31" s="285">
        <f>'4.sz.m.ÖNK kiadás'!H33</f>
        <v>3023740</v>
      </c>
      <c r="I31" s="285">
        <f>'4.sz.m.ÖNK kiadás'!I33</f>
        <v>3023740</v>
      </c>
      <c r="J31" s="285">
        <f>'4.sz.m.ÖNK kiadás'!J33</f>
        <v>3023740</v>
      </c>
      <c r="K31" s="285">
        <f>'4.sz.m.ÖNK kiadás'!K33</f>
        <v>3023740</v>
      </c>
      <c r="L31" s="1129">
        <f t="shared" si="4"/>
        <v>1</v>
      </c>
      <c r="M31" s="352">
        <f>'4.sz.m.ÖNK kiadás'!M33</f>
        <v>3023740</v>
      </c>
      <c r="N31" s="121">
        <f>'4.sz.m.ÖNK kiadás'!N33</f>
        <v>3023740</v>
      </c>
      <c r="O31" s="121">
        <f>'4.sz.m.ÖNK kiadás'!O33</f>
        <v>3023740</v>
      </c>
      <c r="P31" s="285">
        <f>'4.sz.m.ÖNK kiadás'!P33</f>
        <v>3023740</v>
      </c>
      <c r="Q31" s="285">
        <f>'4.sz.m.ÖNK kiadás'!Q33</f>
        <v>3023740</v>
      </c>
      <c r="R31" s="121">
        <f aca="true" t="shared" si="17" ref="R31:S33">J31</f>
        <v>3023740</v>
      </c>
      <c r="S31" s="121">
        <f t="shared" si="17"/>
        <v>3023740</v>
      </c>
      <c r="T31" s="1129">
        <f t="shared" si="6"/>
        <v>1</v>
      </c>
      <c r="U31" s="347">
        <v>0</v>
      </c>
      <c r="V31" s="285"/>
      <c r="W31" s="285"/>
      <c r="X31" s="285"/>
      <c r="Y31" s="285"/>
      <c r="Z31" s="285"/>
      <c r="AA31" s="285"/>
      <c r="AB31" s="1129"/>
      <c r="AC31" s="347">
        <v>0</v>
      </c>
      <c r="AD31" s="285"/>
      <c r="AE31" s="285"/>
      <c r="AF31" s="285"/>
      <c r="AG31" s="285"/>
      <c r="AH31" s="285"/>
      <c r="AI31" s="285"/>
      <c r="AJ31" s="1129"/>
    </row>
    <row r="32" spans="1:36" s="5" customFormat="1" ht="33" customHeight="1">
      <c r="A32" s="118"/>
      <c r="B32" s="105" t="s">
        <v>324</v>
      </c>
      <c r="C32" s="1494" t="s">
        <v>467</v>
      </c>
      <c r="D32" s="1494"/>
      <c r="E32" s="380">
        <f>'4.sz.m.ÖNK kiadás'!E34</f>
        <v>29500000</v>
      </c>
      <c r="F32" s="381">
        <f>'4.sz.m.ÖNK kiadás'!F34</f>
        <v>29500000</v>
      </c>
      <c r="G32" s="121">
        <f>'4.sz.m.ÖNK kiadás'!G34</f>
        <v>29500000</v>
      </c>
      <c r="H32" s="121">
        <f>'4.sz.m.ÖNK kiadás'!H34</f>
        <v>29500000</v>
      </c>
      <c r="I32" s="121">
        <f>'4.sz.m.ÖNK kiadás'!I34</f>
        <v>29500000</v>
      </c>
      <c r="J32" s="121">
        <f>'4.sz.m.ÖNK kiadás'!J34</f>
        <v>29500000</v>
      </c>
      <c r="K32" s="121">
        <f>'4.sz.m.ÖNK kiadás'!K34</f>
        <v>29500000</v>
      </c>
      <c r="L32" s="1081">
        <f t="shared" si="4"/>
        <v>1</v>
      </c>
      <c r="M32" s="380">
        <f>'4.sz.m.ÖNK kiadás'!M34</f>
        <v>29500000</v>
      </c>
      <c r="N32" s="381">
        <f>'4.sz.m.ÖNK kiadás'!N34</f>
        <v>29500000</v>
      </c>
      <c r="O32" s="381">
        <f>'4.sz.m.ÖNK kiadás'!O34</f>
        <v>29500000</v>
      </c>
      <c r="P32" s="121">
        <f>'4.sz.m.ÖNK kiadás'!P34</f>
        <v>29500000</v>
      </c>
      <c r="Q32" s="121">
        <f>'4.sz.m.ÖNK kiadás'!Q34</f>
        <v>29500000</v>
      </c>
      <c r="R32" s="121">
        <f t="shared" si="17"/>
        <v>29500000</v>
      </c>
      <c r="S32" s="121">
        <f t="shared" si="17"/>
        <v>29500000</v>
      </c>
      <c r="T32" s="1081">
        <f t="shared" si="6"/>
        <v>1</v>
      </c>
      <c r="U32" s="352">
        <v>0</v>
      </c>
      <c r="V32" s="121"/>
      <c r="W32" s="121"/>
      <c r="X32" s="121"/>
      <c r="Y32" s="121"/>
      <c r="Z32" s="121"/>
      <c r="AA32" s="121"/>
      <c r="AB32" s="1081"/>
      <c r="AC32" s="352">
        <v>0</v>
      </c>
      <c r="AD32" s="121"/>
      <c r="AE32" s="121"/>
      <c r="AF32" s="121"/>
      <c r="AG32" s="121"/>
      <c r="AH32" s="121"/>
      <c r="AI32" s="121"/>
      <c r="AJ32" s="1081"/>
    </row>
    <row r="33" spans="1:36" s="5" customFormat="1" ht="33" customHeight="1" thickBot="1">
      <c r="A33" s="118"/>
      <c r="B33" s="105" t="s">
        <v>430</v>
      </c>
      <c r="C33" s="1498" t="s">
        <v>429</v>
      </c>
      <c r="D33" s="1498"/>
      <c r="E33" s="352">
        <f>'4.sz.m.ÖNK kiadás'!E36</f>
        <v>8122419</v>
      </c>
      <c r="F33" s="121">
        <f>'4.sz.m.ÖNK kiadás'!F36</f>
        <v>8122419</v>
      </c>
      <c r="G33" s="121">
        <f>'4.sz.m.ÖNK kiadás'!G36</f>
        <v>8122419</v>
      </c>
      <c r="H33" s="121">
        <f>'4.sz.m.ÖNK kiadás'!H36</f>
        <v>8122419</v>
      </c>
      <c r="I33" s="121">
        <f>'4.sz.m.ÖNK kiadás'!I36</f>
        <v>8122419</v>
      </c>
      <c r="J33" s="121">
        <f>'4.sz.m.ÖNK kiadás'!J36</f>
        <v>8122419</v>
      </c>
      <c r="K33" s="121">
        <f>'4.sz.m.ÖNK kiadás'!K36</f>
        <v>8122419</v>
      </c>
      <c r="L33" s="1090">
        <f t="shared" si="4"/>
        <v>1</v>
      </c>
      <c r="M33" s="352">
        <f>'4.sz.m.ÖNK kiadás'!M36</f>
        <v>8122419</v>
      </c>
      <c r="N33" s="121">
        <f>'4.sz.m.ÖNK kiadás'!N36</f>
        <v>8122419</v>
      </c>
      <c r="O33" s="121">
        <f>'4.sz.m.ÖNK kiadás'!O36</f>
        <v>8122419</v>
      </c>
      <c r="P33" s="121">
        <f>'4.sz.m.ÖNK kiadás'!P36</f>
        <v>8122419</v>
      </c>
      <c r="Q33" s="121">
        <f>'4.sz.m.ÖNK kiadás'!Q36</f>
        <v>8122419</v>
      </c>
      <c r="R33" s="121">
        <f t="shared" si="17"/>
        <v>8122419</v>
      </c>
      <c r="S33" s="121">
        <f t="shared" si="17"/>
        <v>8122419</v>
      </c>
      <c r="T33" s="1090">
        <f t="shared" si="6"/>
        <v>1</v>
      </c>
      <c r="U33" s="352">
        <v>0</v>
      </c>
      <c r="V33" s="121"/>
      <c r="W33" s="121"/>
      <c r="X33" s="121"/>
      <c r="Y33" s="121"/>
      <c r="Z33" s="121"/>
      <c r="AA33" s="121"/>
      <c r="AB33" s="1090"/>
      <c r="AC33" s="352">
        <v>0</v>
      </c>
      <c r="AD33" s="121"/>
      <c r="AE33" s="121"/>
      <c r="AF33" s="121"/>
      <c r="AG33" s="121"/>
      <c r="AH33" s="121"/>
      <c r="AI33" s="121"/>
      <c r="AJ33" s="1090"/>
    </row>
    <row r="34" spans="1:36" s="5" customFormat="1" ht="33" customHeight="1" thickBot="1">
      <c r="A34" s="365" t="s">
        <v>14</v>
      </c>
      <c r="B34" s="1499" t="s">
        <v>238</v>
      </c>
      <c r="C34" s="1499"/>
      <c r="D34" s="1499"/>
      <c r="E34" s="366">
        <f aca="true" t="shared" si="18" ref="E34:R34">E29+E30</f>
        <v>699181183</v>
      </c>
      <c r="F34" s="367">
        <f t="shared" si="18"/>
        <v>699181183</v>
      </c>
      <c r="G34" s="367">
        <f t="shared" si="18"/>
        <v>704675248</v>
      </c>
      <c r="H34" s="367">
        <f t="shared" si="18"/>
        <v>882005870</v>
      </c>
      <c r="I34" s="367">
        <f t="shared" si="18"/>
        <v>892596602</v>
      </c>
      <c r="J34" s="367">
        <f t="shared" si="18"/>
        <v>919864500</v>
      </c>
      <c r="K34" s="367">
        <f>K29+K30</f>
        <v>588570460</v>
      </c>
      <c r="L34" s="1128">
        <f t="shared" si="4"/>
        <v>0.6398447380021731</v>
      </c>
      <c r="M34" s="366">
        <f t="shared" si="18"/>
        <v>678235701</v>
      </c>
      <c r="N34" s="367">
        <f t="shared" si="18"/>
        <v>676245200</v>
      </c>
      <c r="O34" s="367">
        <f t="shared" si="18"/>
        <v>681894524</v>
      </c>
      <c r="P34" s="367">
        <f t="shared" si="18"/>
        <v>859225145</v>
      </c>
      <c r="Q34" s="367">
        <f t="shared" si="18"/>
        <v>869745876</v>
      </c>
      <c r="R34" s="367">
        <f t="shared" si="18"/>
        <v>899713869</v>
      </c>
      <c r="S34" s="367">
        <f>S29+S30</f>
        <v>571936018</v>
      </c>
      <c r="T34" s="1128">
        <f t="shared" si="6"/>
        <v>0.6356865640358379</v>
      </c>
      <c r="U34" s="366">
        <f aca="true" t="shared" si="19" ref="U34:AA34">U29+U30</f>
        <v>20945482</v>
      </c>
      <c r="V34" s="367">
        <f t="shared" si="19"/>
        <v>22935983</v>
      </c>
      <c r="W34" s="367">
        <f t="shared" si="19"/>
        <v>22780724</v>
      </c>
      <c r="X34" s="367">
        <f t="shared" si="19"/>
        <v>22780725</v>
      </c>
      <c r="Y34" s="367">
        <f t="shared" si="19"/>
        <v>22850726</v>
      </c>
      <c r="Z34" s="367">
        <f t="shared" si="19"/>
        <v>20150631</v>
      </c>
      <c r="AA34" s="367">
        <f t="shared" si="19"/>
        <v>16634442</v>
      </c>
      <c r="AB34" s="1128">
        <f>+AA34/Z34</f>
        <v>0.825504769552874</v>
      </c>
      <c r="AC34" s="366">
        <f aca="true" t="shared" si="20" ref="AC34:AI34">AC29+AC30</f>
        <v>5610894</v>
      </c>
      <c r="AD34" s="367">
        <f t="shared" si="20"/>
        <v>5610894</v>
      </c>
      <c r="AE34" s="367">
        <f t="shared" si="20"/>
        <v>5610894</v>
      </c>
      <c r="AF34" s="367">
        <f t="shared" si="20"/>
        <v>5610894</v>
      </c>
      <c r="AG34" s="367">
        <f t="shared" si="20"/>
        <v>5610894</v>
      </c>
      <c r="AH34" s="367">
        <f t="shared" si="20"/>
        <v>5610894</v>
      </c>
      <c r="AI34" s="367">
        <f t="shared" si="20"/>
        <v>5610894</v>
      </c>
      <c r="AJ34" s="1128">
        <f>+AI34/AH34</f>
        <v>1</v>
      </c>
    </row>
    <row r="35" spans="1:36" s="5" customFormat="1" ht="33" customHeight="1" hidden="1" thickBot="1">
      <c r="A35" s="1496" t="s">
        <v>239</v>
      </c>
      <c r="B35" s="1497"/>
      <c r="C35" s="1497"/>
      <c r="D35" s="1497"/>
      <c r="E35" s="419"/>
      <c r="F35" s="368"/>
      <c r="G35" s="368"/>
      <c r="H35" s="368"/>
      <c r="I35" s="368"/>
      <c r="J35" s="368"/>
      <c r="K35" s="368"/>
      <c r="L35" s="1083" t="e">
        <f t="shared" si="4"/>
        <v>#DIV/0!</v>
      </c>
      <c r="M35" s="419"/>
      <c r="N35" s="368"/>
      <c r="O35" s="368"/>
      <c r="P35" s="368"/>
      <c r="Q35" s="368"/>
      <c r="R35" s="368"/>
      <c r="S35" s="368"/>
      <c r="T35" s="1083" t="e">
        <f t="shared" si="6"/>
        <v>#DIV/0!</v>
      </c>
      <c r="U35" s="419"/>
      <c r="V35" s="368"/>
      <c r="W35" s="368"/>
      <c r="X35" s="368"/>
      <c r="Y35" s="368"/>
      <c r="Z35" s="368"/>
      <c r="AA35" s="368"/>
      <c r="AB35" s="1083" t="e">
        <f>+AA35/Z35</f>
        <v>#DIV/0!</v>
      </c>
      <c r="AC35" s="419"/>
      <c r="AD35" s="368"/>
      <c r="AE35" s="368"/>
      <c r="AF35" s="368"/>
      <c r="AG35" s="368"/>
      <c r="AH35" s="368"/>
      <c r="AI35" s="368"/>
      <c r="AJ35" s="1083" t="e">
        <f>+AI35/AH35</f>
        <v>#DIV/0!</v>
      </c>
    </row>
    <row r="36" spans="1:36" s="5" customFormat="1" ht="33" customHeight="1" thickBot="1">
      <c r="A36" s="1446" t="s">
        <v>104</v>
      </c>
      <c r="B36" s="1447"/>
      <c r="C36" s="1447"/>
      <c r="D36" s="1447"/>
      <c r="E36" s="348">
        <f aca="true" t="shared" si="21" ref="E36:N36">E34+E35</f>
        <v>699181183</v>
      </c>
      <c r="F36" s="64">
        <f t="shared" si="21"/>
        <v>699181183</v>
      </c>
      <c r="G36" s="64">
        <f t="shared" si="21"/>
        <v>704675248</v>
      </c>
      <c r="H36" s="64">
        <f t="shared" si="21"/>
        <v>882005870</v>
      </c>
      <c r="I36" s="64">
        <f>I34+I35</f>
        <v>892596602</v>
      </c>
      <c r="J36" s="64">
        <f>J34+J35</f>
        <v>919864500</v>
      </c>
      <c r="K36" s="64">
        <f>K34+K35</f>
        <v>588570460</v>
      </c>
      <c r="L36" s="1084">
        <f t="shared" si="4"/>
        <v>0.6398447380021731</v>
      </c>
      <c r="M36" s="348">
        <f t="shared" si="21"/>
        <v>678235701</v>
      </c>
      <c r="N36" s="64">
        <f t="shared" si="21"/>
        <v>676245200</v>
      </c>
      <c r="O36" s="64">
        <f>O34+O35</f>
        <v>681894524</v>
      </c>
      <c r="P36" s="64">
        <f>P34+P35</f>
        <v>859225145</v>
      </c>
      <c r="Q36" s="64">
        <f>Q34+Q35</f>
        <v>869745876</v>
      </c>
      <c r="R36" s="64">
        <f>R34+R35</f>
        <v>899713869</v>
      </c>
      <c r="S36" s="64">
        <f>S34+S35</f>
        <v>571936018</v>
      </c>
      <c r="T36" s="1084">
        <f t="shared" si="6"/>
        <v>0.6356865640358379</v>
      </c>
      <c r="U36" s="348">
        <f aca="true" t="shared" si="22" ref="U36:AH36">U34+U35</f>
        <v>20945482</v>
      </c>
      <c r="V36" s="64">
        <f t="shared" si="22"/>
        <v>22935983</v>
      </c>
      <c r="W36" s="64">
        <f>W34+W35</f>
        <v>22780724</v>
      </c>
      <c r="X36" s="64">
        <f t="shared" si="22"/>
        <v>22780725</v>
      </c>
      <c r="Y36" s="64">
        <f t="shared" si="22"/>
        <v>22850726</v>
      </c>
      <c r="Z36" s="64">
        <f>Z34+Z35</f>
        <v>20150631</v>
      </c>
      <c r="AA36" s="64">
        <f>AA34+AA35</f>
        <v>16634442</v>
      </c>
      <c r="AB36" s="1084">
        <f>+AA36/Z36</f>
        <v>0.825504769552874</v>
      </c>
      <c r="AC36" s="348">
        <f t="shared" si="22"/>
        <v>5610894</v>
      </c>
      <c r="AD36" s="64">
        <f t="shared" si="22"/>
        <v>5610894</v>
      </c>
      <c r="AE36" s="64">
        <f t="shared" si="22"/>
        <v>5610894</v>
      </c>
      <c r="AF36" s="64">
        <f t="shared" si="22"/>
        <v>5610894</v>
      </c>
      <c r="AG36" s="64">
        <f t="shared" si="22"/>
        <v>5610894</v>
      </c>
      <c r="AH36" s="64">
        <f t="shared" si="22"/>
        <v>5610894</v>
      </c>
      <c r="AI36" s="64">
        <f>AI34+AI35</f>
        <v>5610894</v>
      </c>
      <c r="AJ36" s="1084">
        <f>+AI36/AH36</f>
        <v>1</v>
      </c>
    </row>
    <row r="37" spans="1:35" s="5" customFormat="1" ht="19.5" customHeight="1">
      <c r="A37" s="57"/>
      <c r="B37" s="107"/>
      <c r="C37" s="57"/>
      <c r="D37" s="57"/>
      <c r="E37" s="878" t="str">
        <f>IF(M36+U36=E36," ","HIBA-nincs egyenlőség")</f>
        <v> </v>
      </c>
      <c r="F37" s="878" t="str">
        <f>IF(N36+V36=F36," ","HIBA-nincs egyenlőség")</f>
        <v> </v>
      </c>
      <c r="G37" s="878" t="str">
        <f>IF(O36+W36=G36," ","HIBA-nincs egyenlőség")</f>
        <v> </v>
      </c>
      <c r="H37" s="878" t="str">
        <f>IF(P36+X36=H36," ","HIBA-nincs egyenlőség")</f>
        <v> </v>
      </c>
      <c r="I37" s="878"/>
      <c r="J37" s="878"/>
      <c r="K37" s="878"/>
      <c r="L37" s="878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421"/>
      <c r="AD37" s="421"/>
      <c r="AE37" s="421"/>
      <c r="AF37" s="421"/>
      <c r="AG37" s="421"/>
      <c r="AH37" s="421"/>
      <c r="AI37" s="421"/>
    </row>
    <row r="38" spans="1:35" s="5" customFormat="1" ht="19.5" customHeight="1">
      <c r="A38" s="57"/>
      <c r="B38" s="107"/>
      <c r="C38" s="57"/>
      <c r="D38" s="57"/>
      <c r="E38" s="6"/>
      <c r="F38" s="6"/>
      <c r="G38" s="6"/>
      <c r="H38" s="6"/>
      <c r="I38" s="6"/>
      <c r="J38" s="6"/>
      <c r="K38" s="6"/>
      <c r="L38" s="6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420"/>
      <c r="AD38" s="420"/>
      <c r="AE38" s="420"/>
      <c r="AF38" s="420"/>
      <c r="AG38" s="420"/>
      <c r="AH38" s="420"/>
      <c r="AI38" s="420"/>
    </row>
    <row r="39" spans="1:35" s="5" customFormat="1" ht="19.5" customHeight="1">
      <c r="A39" s="57"/>
      <c r="B39" s="107"/>
      <c r="C39" s="1483" t="s">
        <v>53</v>
      </c>
      <c r="D39" s="1483"/>
      <c r="E39" s="1483"/>
      <c r="F39" s="1483"/>
      <c r="G39" s="1483"/>
      <c r="H39" s="1483"/>
      <c r="I39" s="1483"/>
      <c r="J39" s="1483"/>
      <c r="K39" s="1483"/>
      <c r="L39" s="1483"/>
      <c r="M39" s="1483"/>
      <c r="N39" s="1483"/>
      <c r="O39" s="1483"/>
      <c r="P39" s="1483"/>
      <c r="Q39" s="1483"/>
      <c r="R39" s="1483"/>
      <c r="S39" s="1483"/>
      <c r="T39" s="1483"/>
      <c r="U39" s="1483"/>
      <c r="V39" s="293"/>
      <c r="W39" s="293"/>
      <c r="X39" s="293"/>
      <c r="Y39" s="293"/>
      <c r="Z39" s="293"/>
      <c r="AA39" s="293"/>
      <c r="AB39" s="293"/>
      <c r="AC39" s="422"/>
      <c r="AD39" s="422"/>
      <c r="AE39" s="422"/>
      <c r="AF39" s="422"/>
      <c r="AG39" s="422"/>
      <c r="AH39" s="423"/>
      <c r="AI39" s="423"/>
    </row>
    <row r="40" spans="1:35" s="5" customFormat="1" ht="19.5" customHeight="1" thickBot="1">
      <c r="A40" s="250" t="s">
        <v>54</v>
      </c>
      <c r="B40" s="250"/>
      <c r="F40" s="228"/>
      <c r="G40" s="228"/>
      <c r="H40" s="228"/>
      <c r="I40" s="228"/>
      <c r="J40" s="228"/>
      <c r="K40" s="228"/>
      <c r="L40" s="228"/>
      <c r="M40" s="229"/>
      <c r="N40" s="229"/>
      <c r="O40" s="229"/>
      <c r="P40" s="229"/>
      <c r="Q40" s="229"/>
      <c r="R40" s="229"/>
      <c r="S40" s="229"/>
      <c r="T40" s="229"/>
      <c r="U40" s="230">
        <v>0</v>
      </c>
      <c r="V40" s="230"/>
      <c r="W40" s="230"/>
      <c r="X40" s="230"/>
      <c r="Y40" s="230"/>
      <c r="Z40" s="230"/>
      <c r="AA40" s="230"/>
      <c r="AB40" s="230"/>
      <c r="AC40" s="424"/>
      <c r="AD40" s="424"/>
      <c r="AE40" s="424"/>
      <c r="AF40" s="424"/>
      <c r="AG40" s="424"/>
      <c r="AH40" s="425"/>
      <c r="AI40" s="425"/>
    </row>
    <row r="41" spans="1:36" ht="52.5" customHeight="1" thickBot="1">
      <c r="A41" s="231">
        <v>1</v>
      </c>
      <c r="B41" s="1462" t="s">
        <v>154</v>
      </c>
      <c r="C41" s="1463"/>
      <c r="D41" s="1464"/>
      <c r="E41" s="249">
        <f>'1.sz.m-önk.össze.bev'!E57-'1 .sz.m.önk.össz.kiad.'!E29</f>
        <v>-105893701</v>
      </c>
      <c r="F41" s="249">
        <f>'1.sz.m-önk.össze.bev'!F57-'1 .sz.m.önk.össz.kiad.'!F29</f>
        <v>-105828061</v>
      </c>
      <c r="G41" s="249">
        <f>'1.sz.m-önk.össze.bev'!G57-'1 .sz.m.önk.össz.kiad.'!G29</f>
        <v>-105828061</v>
      </c>
      <c r="H41" s="249">
        <f>'1.sz.m-önk.össze.bev'!H57-'1 .sz.m.önk.össz.kiad.'!H29</f>
        <v>-105828061</v>
      </c>
      <c r="I41" s="249">
        <f>'1.sz.m-önk.össze.bev'!I57-'1 .sz.m.önk.össz.kiad.'!I29</f>
        <v>-105828061</v>
      </c>
      <c r="J41" s="249">
        <f>'1.sz.m-önk.össze.bev'!J57-'1 .sz.m.önk.össz.kiad.'!J29</f>
        <v>-115592441</v>
      </c>
      <c r="K41" s="249">
        <f>'1.sz.m-önk.össze.bev'!K57-'1 .sz.m.önk.össz.kiad.'!K29</f>
        <v>207882955</v>
      </c>
      <c r="L41" s="249"/>
      <c r="M41" s="249">
        <f>'1.sz.m-önk.össze.bev'!M57-'1 .sz.m.önk.össz.kiad.'!M29</f>
        <v>-105893701</v>
      </c>
      <c r="N41" s="249">
        <f>'1.sz.m-önk.össze.bev'!N57-'1 .sz.m.önk.össz.kiad.'!N29</f>
        <v>-105828063</v>
      </c>
      <c r="O41" s="249">
        <f>'1.sz.m-önk.össze.bev'!O57-'1 .sz.m.önk.össz.kiad.'!O29</f>
        <v>-105936065</v>
      </c>
      <c r="P41" s="249">
        <f>'1.sz.m-önk.össze.bev'!P57-'1 .sz.m.önk.össz.kiad.'!P29</f>
        <v>-105936067</v>
      </c>
      <c r="Q41" s="249">
        <f>'1.sz.m-önk.össze.bev'!Q57-'1 .sz.m.önk.össz.kiad.'!Q29</f>
        <v>-105936069</v>
      </c>
      <c r="R41" s="249">
        <f>'1.sz.m-önk.össze.bev'!R57-'1 .sz.m.önk.össz.kiad.'!R29</f>
        <v>-115592441</v>
      </c>
      <c r="S41" s="249">
        <f>'1.sz.m-önk.össze.bev'!S57-'1 .sz.m.önk.össz.kiad.'!S29</f>
        <v>204366766</v>
      </c>
      <c r="T41" s="249">
        <f>'1.sz.m-önk.össze.bev'!T57-'1 .sz.m.önk.össz.kiad.'!T29</f>
        <v>0.37103431202950043</v>
      </c>
      <c r="U41" s="249">
        <f>'1.sz.m-önk.össze.bev'!U57-'1 .sz.m.önk.össz.kiad.'!U29</f>
        <v>0</v>
      </c>
      <c r="V41" s="249">
        <f>'1.sz.m-önk.össze.bev'!V57-'1 .sz.m.önk.össz.kiad.'!V29</f>
        <v>2</v>
      </c>
      <c r="W41" s="249">
        <f>'1.sz.m-önk.össze.bev'!W57-'1 .sz.m.önk.össz.kiad.'!W29</f>
        <v>4</v>
      </c>
      <c r="X41" s="249">
        <f>'1.sz.m-önk.össze.bev'!X57-'1 .sz.m.önk.össz.kiad.'!X29</f>
        <v>6</v>
      </c>
      <c r="Y41" s="249">
        <f>'1.sz.m-önk.össze.bev'!Y57-'1 .sz.m.önk.össz.kiad.'!Y29</f>
        <v>8</v>
      </c>
      <c r="Z41" s="249"/>
      <c r="AA41" s="249"/>
      <c r="AB41" s="249"/>
      <c r="AC41" s="249">
        <f>'1.sz.m-önk.össze.bev'!AC57-'1 .sz.m.önk.össz.kiad.'!AC29</f>
        <v>0</v>
      </c>
      <c r="AD41" s="249">
        <f>'1.sz.m-önk.össze.bev'!AD57-'1 .sz.m.önk.össz.kiad.'!AD29</f>
        <v>0</v>
      </c>
      <c r="AE41" s="249">
        <f>'1.sz.m-önk.össze.bev'!AE57-'1 .sz.m.önk.össz.kiad.'!AE29</f>
        <v>0</v>
      </c>
      <c r="AF41" s="249">
        <f>'1.sz.m-önk.össze.bev'!AF57-'1 .sz.m.önk.össz.kiad.'!AF29</f>
        <v>0</v>
      </c>
      <c r="AG41" s="249">
        <f>'1.sz.m-önk.össze.bev'!AG57-'1 .sz.m.önk.össz.kiad.'!AG29</f>
        <v>0</v>
      </c>
      <c r="AH41" s="249">
        <f>'1.sz.m-önk.össze.bev'!AH57-'1 .sz.m.önk.össz.kiad.'!AH29</f>
        <v>0</v>
      </c>
      <c r="AI41" s="249"/>
      <c r="AJ41" s="249">
        <f>'1.sz.m-önk.össze.bev'!AJ57-'1 .sz.m.önk.össz.kiad.'!AJ29</f>
        <v>0</v>
      </c>
    </row>
    <row r="42" spans="1:28" ht="15.75">
      <c r="A42" s="109"/>
      <c r="B42" s="56"/>
      <c r="C42" s="228"/>
      <c r="D42" s="228"/>
      <c r="E42" s="232"/>
      <c r="F42" s="232"/>
      <c r="G42" s="232"/>
      <c r="H42" s="232"/>
      <c r="I42" s="232"/>
      <c r="J42" s="232"/>
      <c r="K42" s="232"/>
      <c r="L42" s="232"/>
      <c r="M42" s="229"/>
      <c r="N42" s="229"/>
      <c r="O42" s="229"/>
      <c r="P42" s="229"/>
      <c r="Q42" s="229"/>
      <c r="R42" s="229"/>
      <c r="S42" s="229"/>
      <c r="T42" s="229"/>
      <c r="U42" s="230">
        <v>0</v>
      </c>
      <c r="V42" s="230"/>
      <c r="W42" s="230"/>
      <c r="X42" s="230"/>
      <c r="Y42" s="230"/>
      <c r="Z42" s="230"/>
      <c r="AA42" s="230"/>
      <c r="AB42" s="230"/>
    </row>
    <row r="43" spans="1:28" ht="15.75" customHeight="1">
      <c r="A43" s="109"/>
      <c r="B43" s="56"/>
      <c r="C43" s="1461" t="s">
        <v>155</v>
      </c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291"/>
      <c r="W43" s="291"/>
      <c r="X43" s="291"/>
      <c r="Y43" s="291"/>
      <c r="Z43" s="291"/>
      <c r="AA43" s="291"/>
      <c r="AB43" s="291"/>
    </row>
    <row r="44" spans="1:28" ht="16.5" thickBot="1">
      <c r="A44" s="250" t="s">
        <v>156</v>
      </c>
      <c r="B44" s="56"/>
      <c r="C44" s="1465"/>
      <c r="D44" s="1465"/>
      <c r="E44" s="228"/>
      <c r="F44" s="228"/>
      <c r="G44" s="228"/>
      <c r="H44" s="228"/>
      <c r="I44" s="228"/>
      <c r="J44" s="228"/>
      <c r="K44" s="228"/>
      <c r="L44" s="228"/>
      <c r="M44" s="229"/>
      <c r="N44" s="229"/>
      <c r="O44" s="229"/>
      <c r="P44" s="229"/>
      <c r="Q44" s="229"/>
      <c r="R44" s="229"/>
      <c r="S44" s="229"/>
      <c r="T44" s="229"/>
      <c r="U44" s="230">
        <v>0</v>
      </c>
      <c r="V44" s="230"/>
      <c r="W44" s="230"/>
      <c r="X44" s="230"/>
      <c r="Y44" s="230"/>
      <c r="Z44" s="230"/>
      <c r="AA44" s="230"/>
      <c r="AB44" s="230"/>
    </row>
    <row r="45" spans="1:36" ht="27.75" customHeight="1">
      <c r="A45" s="244" t="s">
        <v>27</v>
      </c>
      <c r="B45" s="1472" t="s">
        <v>450</v>
      </c>
      <c r="C45" s="1473"/>
      <c r="D45" s="1474"/>
      <c r="E45" s="264">
        <f>'1.sz.m-önk.össze.bev'!E61-'2.sz.m.összehasonlító'!B27</f>
        <v>77946078</v>
      </c>
      <c r="F45" s="264">
        <f>'1.sz.m-önk.össze.bev'!F61-'2.sz.m.összehasonlító'!C27</f>
        <v>77372679</v>
      </c>
      <c r="G45" s="264">
        <f>'1.sz.m-önk.össze.bev'!G61-'2.sz.m.összehasonlító'!D27</f>
        <v>55667605</v>
      </c>
      <c r="H45" s="264">
        <f>'1.sz.m-önk.össze.bev'!H61-'2.sz.m.összehasonlító'!E27</f>
        <v>61007482</v>
      </c>
      <c r="I45" s="264">
        <f>'1.sz.m-önk.össze.bev'!I61-'2.sz.m.összehasonlító'!F27</f>
        <v>51374717</v>
      </c>
      <c r="J45" s="264">
        <f>'1.sz.m-önk.össze.bev'!J61-'2.sz.m.összehasonlító'!G27</f>
        <v>41519452</v>
      </c>
      <c r="K45" s="264">
        <f>'1.sz.m-önk.össze.bev'!K61-'2.sz.m.összehasonlító'!H27</f>
        <v>41519452</v>
      </c>
      <c r="L45" s="264"/>
      <c r="M45" s="264">
        <f>'1.sz.m-önk.össze.bev'!M61-'2.sz.m.összehasonlító'!B27</f>
        <v>77946078</v>
      </c>
      <c r="N45" s="264">
        <f>'1.sz.m-önk.össze.bev'!N61-'2.sz.m.összehasonlító'!C27</f>
        <v>77372679</v>
      </c>
      <c r="O45" s="264">
        <f>'1.sz.m-önk.össze.bev'!O61-'2.sz.m.összehasonlító'!D27</f>
        <v>55667605</v>
      </c>
      <c r="P45" s="264">
        <f>'1.sz.m-önk.össze.bev'!P61-'2.sz.m.összehasonlító'!E27</f>
        <v>61007482</v>
      </c>
      <c r="Q45" s="264">
        <f>'1.sz.m-önk.össze.bev'!Q61-'2.sz.m.összehasonlító'!F27</f>
        <v>51374717</v>
      </c>
      <c r="R45" s="264">
        <f>'1.sz.m-önk.össze.bev'!R61-'2.sz.m.összehasonlító'!G27</f>
        <v>41519452</v>
      </c>
      <c r="S45" s="264">
        <f>'1.sz.m-önk.össze.bev'!S61-'2.sz.m.összehasonlító'!H27</f>
        <v>41519452</v>
      </c>
      <c r="T45" s="264"/>
      <c r="U45" s="264">
        <f>'1.sz.m-önk.össze.bev'!U61</f>
        <v>0</v>
      </c>
      <c r="V45" s="264">
        <f>'1.sz.m-önk.össze.bev'!V61</f>
        <v>0</v>
      </c>
      <c r="W45" s="264">
        <f>'1.sz.m-önk.össze.bev'!W61</f>
        <v>0</v>
      </c>
      <c r="X45" s="264">
        <f>'1.sz.m-önk.össze.bev'!X61</f>
        <v>0</v>
      </c>
      <c r="Y45" s="264">
        <f>'1.sz.m-önk.össze.bev'!Y61</f>
        <v>0</v>
      </c>
      <c r="Z45" s="264">
        <f>'1.sz.m-önk.össze.bev'!Z61</f>
        <v>0</v>
      </c>
      <c r="AA45" s="264"/>
      <c r="AB45" s="264"/>
      <c r="AC45" s="264">
        <f>'1.sz.m-önk.össze.bev'!AC61</f>
        <v>0</v>
      </c>
      <c r="AD45" s="264">
        <f>'1.sz.m-önk.össze.bev'!AD61</f>
        <v>0</v>
      </c>
      <c r="AE45" s="264">
        <f>'1.sz.m-önk.össze.bev'!AE61</f>
        <v>0</v>
      </c>
      <c r="AF45" s="264">
        <f>'1.sz.m-önk.össze.bev'!AF61</f>
        <v>0</v>
      </c>
      <c r="AG45" s="264">
        <f>'1.sz.m-önk.össze.bev'!AG61</f>
        <v>0</v>
      </c>
      <c r="AH45" s="264">
        <f>'1.sz.m-önk.össze.bev'!AH61</f>
        <v>0</v>
      </c>
      <c r="AI45" s="264"/>
      <c r="AJ45" s="264">
        <f>'1.sz.m-önk.össze.bev'!AJ61</f>
        <v>0</v>
      </c>
    </row>
    <row r="46" spans="1:36" ht="27.75" customHeight="1">
      <c r="A46" s="245" t="s">
        <v>28</v>
      </c>
      <c r="B46" s="1466" t="s">
        <v>451</v>
      </c>
      <c r="C46" s="1467"/>
      <c r="D46" s="1468"/>
      <c r="E46" s="265">
        <f>'2.sz.m.összehasonlító'!B27</f>
        <v>39823782</v>
      </c>
      <c r="F46" s="265">
        <f>'2.sz.m.összehasonlító'!C27</f>
        <v>40331541</v>
      </c>
      <c r="G46" s="265">
        <f>'2.sz.m.összehasonlító'!D27</f>
        <v>62036615</v>
      </c>
      <c r="H46" s="265">
        <f>'2.sz.m.összehasonlító'!E27</f>
        <v>56696738</v>
      </c>
      <c r="I46" s="265">
        <f>'2.sz.m.összehasonlító'!F27</f>
        <v>66329503</v>
      </c>
      <c r="J46" s="265">
        <f>'2.sz.m.összehasonlító'!G27</f>
        <v>76184768</v>
      </c>
      <c r="K46" s="265">
        <f>'2.sz.m.összehasonlító'!H27</f>
        <v>76184768</v>
      </c>
      <c r="L46" s="265"/>
      <c r="M46" s="265">
        <f>'2.sz.m.összehasonlító'!B27</f>
        <v>39823782</v>
      </c>
      <c r="N46" s="265">
        <f>'2.sz.m.összehasonlító'!C27</f>
        <v>40331541</v>
      </c>
      <c r="O46" s="265">
        <f>'2.sz.m.összehasonlító'!D27</f>
        <v>62036615</v>
      </c>
      <c r="P46" s="265">
        <f>'2.sz.m.összehasonlító'!E27</f>
        <v>56696738</v>
      </c>
      <c r="Q46" s="265">
        <f>'2.sz.m.összehasonlító'!F27</f>
        <v>66329503</v>
      </c>
      <c r="R46" s="265">
        <f>'2.sz.m.összehasonlító'!G27</f>
        <v>76184768</v>
      </c>
      <c r="S46" s="265">
        <f>'2.sz.m.összehasonlító'!H27</f>
        <v>76184768</v>
      </c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</row>
    <row r="47" spans="1:36" ht="27.75" customHeight="1" thickBot="1">
      <c r="A47" s="246" t="s">
        <v>10</v>
      </c>
      <c r="B47" s="1469" t="s">
        <v>452</v>
      </c>
      <c r="C47" s="1470"/>
      <c r="D47" s="1471"/>
      <c r="E47" s="263">
        <f aca="true" t="shared" si="23" ref="E47:N47">E45+E46</f>
        <v>117769860</v>
      </c>
      <c r="F47" s="263">
        <f t="shared" si="23"/>
        <v>117704220</v>
      </c>
      <c r="G47" s="263">
        <f t="shared" si="23"/>
        <v>117704220</v>
      </c>
      <c r="H47" s="263">
        <f>H45+H46</f>
        <v>117704220</v>
      </c>
      <c r="I47" s="263">
        <f>I45+I46</f>
        <v>117704220</v>
      </c>
      <c r="J47" s="263">
        <f>J45+J46</f>
        <v>117704220</v>
      </c>
      <c r="K47" s="263">
        <f>K45+K46</f>
        <v>117704220</v>
      </c>
      <c r="L47" s="263"/>
      <c r="M47" s="263">
        <f t="shared" si="23"/>
        <v>117769860</v>
      </c>
      <c r="N47" s="263">
        <f t="shared" si="23"/>
        <v>117704220</v>
      </c>
      <c r="O47" s="263">
        <f aca="true" t="shared" si="24" ref="O47:AH47">O45+O46</f>
        <v>117704220</v>
      </c>
      <c r="P47" s="263">
        <f t="shared" si="24"/>
        <v>117704220</v>
      </c>
      <c r="Q47" s="263">
        <f>Q45+Q46</f>
        <v>117704220</v>
      </c>
      <c r="R47" s="263">
        <f>R45+R46</f>
        <v>117704220</v>
      </c>
      <c r="S47" s="263">
        <f>S45+S46</f>
        <v>117704220</v>
      </c>
      <c r="T47" s="263"/>
      <c r="U47" s="263">
        <f t="shared" si="24"/>
        <v>0</v>
      </c>
      <c r="V47" s="263">
        <f t="shared" si="24"/>
        <v>0</v>
      </c>
      <c r="W47" s="263">
        <f t="shared" si="24"/>
        <v>0</v>
      </c>
      <c r="X47" s="263">
        <f t="shared" si="24"/>
        <v>0</v>
      </c>
      <c r="Y47" s="263">
        <f t="shared" si="24"/>
        <v>0</v>
      </c>
      <c r="Z47" s="263">
        <f t="shared" si="24"/>
        <v>0</v>
      </c>
      <c r="AA47" s="263"/>
      <c r="AB47" s="263"/>
      <c r="AC47" s="263">
        <f t="shared" si="24"/>
        <v>0</v>
      </c>
      <c r="AD47" s="263">
        <f t="shared" si="24"/>
        <v>0</v>
      </c>
      <c r="AE47" s="263">
        <f t="shared" si="24"/>
        <v>0</v>
      </c>
      <c r="AF47" s="263">
        <f t="shared" si="24"/>
        <v>0</v>
      </c>
      <c r="AG47" s="263">
        <f t="shared" si="24"/>
        <v>0</v>
      </c>
      <c r="AH47" s="263">
        <f t="shared" si="24"/>
        <v>0</v>
      </c>
      <c r="AI47" s="263"/>
      <c r="AJ47" s="263">
        <f>AJ45+AJ46</f>
        <v>0</v>
      </c>
    </row>
    <row r="48" spans="1:29" ht="15.75">
      <c r="A48" s="109"/>
      <c r="B48" s="56"/>
      <c r="C48" s="233"/>
      <c r="D48" s="234"/>
      <c r="E48" s="235"/>
      <c r="F48" s="235"/>
      <c r="G48" s="235"/>
      <c r="H48" s="235"/>
      <c r="I48" s="235"/>
      <c r="J48" s="235"/>
      <c r="K48" s="235"/>
      <c r="L48" s="235"/>
      <c r="M48" s="229"/>
      <c r="N48" s="229"/>
      <c r="O48" s="229"/>
      <c r="P48" s="229"/>
      <c r="Q48" s="229"/>
      <c r="R48" s="229"/>
      <c r="S48" s="229"/>
      <c r="T48" s="229"/>
      <c r="U48" s="230"/>
      <c r="V48" s="230"/>
      <c r="W48" s="230"/>
      <c r="X48" s="230"/>
      <c r="Y48" s="230"/>
      <c r="Z48" s="230"/>
      <c r="AA48" s="230"/>
      <c r="AB48" s="230"/>
      <c r="AC48" s="1"/>
    </row>
    <row r="49" spans="1:28" ht="15.75" customHeight="1">
      <c r="A49" s="109"/>
      <c r="B49" s="56"/>
      <c r="C49" s="1461" t="s">
        <v>157</v>
      </c>
      <c r="D49" s="1461"/>
      <c r="E49" s="1461"/>
      <c r="F49" s="1461"/>
      <c r="G49" s="1461"/>
      <c r="H49" s="1461"/>
      <c r="I49" s="1461"/>
      <c r="J49" s="1461"/>
      <c r="K49" s="1461"/>
      <c r="L49" s="1461"/>
      <c r="M49" s="1461"/>
      <c r="N49" s="1461"/>
      <c r="O49" s="1461"/>
      <c r="P49" s="1461"/>
      <c r="Q49" s="1461"/>
      <c r="R49" s="1461"/>
      <c r="S49" s="1461"/>
      <c r="T49" s="1461"/>
      <c r="U49" s="1461"/>
      <c r="V49" s="291"/>
      <c r="W49" s="291"/>
      <c r="X49" s="291"/>
      <c r="Y49" s="291"/>
      <c r="Z49" s="291"/>
      <c r="AA49" s="291"/>
      <c r="AB49" s="291"/>
    </row>
    <row r="50" spans="1:28" ht="16.5" thickBot="1">
      <c r="A50" s="250" t="s">
        <v>158</v>
      </c>
      <c r="B50" s="250"/>
      <c r="C50" s="1500"/>
      <c r="D50" s="1500"/>
      <c r="E50" s="228"/>
      <c r="F50" s="228"/>
      <c r="G50" s="228"/>
      <c r="H50" s="228"/>
      <c r="I50" s="228"/>
      <c r="J50" s="228"/>
      <c r="K50" s="228"/>
      <c r="L50" s="228"/>
      <c r="M50" s="229"/>
      <c r="N50" s="229"/>
      <c r="O50" s="229"/>
      <c r="P50" s="229"/>
      <c r="Q50" s="229"/>
      <c r="R50" s="229"/>
      <c r="S50" s="229"/>
      <c r="T50" s="229"/>
      <c r="U50" s="230">
        <v>0</v>
      </c>
      <c r="V50" s="230"/>
      <c r="W50" s="230"/>
      <c r="X50" s="230"/>
      <c r="Y50" s="230"/>
      <c r="Z50" s="230"/>
      <c r="AA50" s="230"/>
      <c r="AB50" s="230"/>
    </row>
    <row r="51" spans="1:37" ht="27.75" customHeight="1">
      <c r="A51" s="244" t="s">
        <v>27</v>
      </c>
      <c r="B51" s="1472" t="s">
        <v>453</v>
      </c>
      <c r="C51" s="1473"/>
      <c r="D51" s="1474"/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51">
        <v>0</v>
      </c>
      <c r="L51" s="251"/>
      <c r="M51" s="251">
        <v>0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1">
        <v>0</v>
      </c>
      <c r="T51" s="251"/>
      <c r="U51" s="251">
        <v>0</v>
      </c>
      <c r="V51" s="251">
        <v>0</v>
      </c>
      <c r="W51" s="251">
        <v>0</v>
      </c>
      <c r="X51" s="251">
        <v>0</v>
      </c>
      <c r="Y51" s="251">
        <v>0</v>
      </c>
      <c r="Z51" s="251">
        <v>0</v>
      </c>
      <c r="AA51" s="251">
        <v>0</v>
      </c>
      <c r="AB51" s="251"/>
      <c r="AC51" s="251">
        <v>0</v>
      </c>
      <c r="AD51" s="251">
        <v>0</v>
      </c>
      <c r="AE51" s="251">
        <v>0</v>
      </c>
      <c r="AF51" s="251">
        <v>0</v>
      </c>
      <c r="AG51" s="251">
        <v>0</v>
      </c>
      <c r="AH51" s="251">
        <v>0</v>
      </c>
      <c r="AI51" s="251">
        <v>1</v>
      </c>
      <c r="AJ51" s="251"/>
      <c r="AK51" s="251">
        <v>0</v>
      </c>
    </row>
    <row r="52" spans="1:37" ht="27.75" customHeight="1">
      <c r="A52" s="245" t="s">
        <v>28</v>
      </c>
      <c r="B52" s="1466" t="s">
        <v>454</v>
      </c>
      <c r="C52" s="1467"/>
      <c r="D52" s="1468"/>
      <c r="E52" s="252">
        <f>'1.sz.m-önk.össze.bev'!E59</f>
        <v>0</v>
      </c>
      <c r="F52" s="252">
        <f>'1.sz.m-önk.össze.bev'!F59</f>
        <v>0</v>
      </c>
      <c r="G52" s="252">
        <f>'1.sz.m-önk.össze.bev'!G59</f>
        <v>0</v>
      </c>
      <c r="H52" s="252">
        <f>'1.sz.m-önk.össze.bev'!H59</f>
        <v>0</v>
      </c>
      <c r="I52" s="252">
        <f>'1.sz.m-önk.össze.bev'!I59</f>
        <v>0</v>
      </c>
      <c r="J52" s="252">
        <v>0</v>
      </c>
      <c r="K52" s="252">
        <v>0</v>
      </c>
      <c r="L52" s="252"/>
      <c r="M52" s="252">
        <f>'1.sz.m-önk.össze.bev'!M59</f>
        <v>0</v>
      </c>
      <c r="N52" s="252">
        <f>'1.sz.m-önk.össze.bev'!N59</f>
        <v>0</v>
      </c>
      <c r="O52" s="252">
        <f>'1.sz.m-önk.össze.bev'!O59</f>
        <v>0</v>
      </c>
      <c r="P52" s="252">
        <f>'1.sz.m-önk.össze.bev'!P59</f>
        <v>0</v>
      </c>
      <c r="Q52" s="252">
        <f>'1.sz.m-önk.össze.bev'!Q59</f>
        <v>0</v>
      </c>
      <c r="R52" s="252">
        <v>0</v>
      </c>
      <c r="S52" s="252">
        <v>0</v>
      </c>
      <c r="T52" s="252"/>
      <c r="U52" s="252">
        <f>'1.sz.m-önk.össze.bev'!U59</f>
        <v>0</v>
      </c>
      <c r="V52" s="252">
        <f>'1.sz.m-önk.össze.bev'!V59</f>
        <v>0</v>
      </c>
      <c r="W52" s="252">
        <f>'1.sz.m-önk.össze.bev'!W59</f>
        <v>0</v>
      </c>
      <c r="X52" s="252">
        <f>'1.sz.m-önk.össze.bev'!X59</f>
        <v>0</v>
      </c>
      <c r="Y52" s="252">
        <f>'1.sz.m-önk.össze.bev'!Y59</f>
        <v>0</v>
      </c>
      <c r="Z52" s="252">
        <f>'1.sz.m-önk.össze.bev'!Z59</f>
        <v>0</v>
      </c>
      <c r="AA52" s="252">
        <f>'1.sz.m-önk.össze.bev'!AA59</f>
        <v>0</v>
      </c>
      <c r="AB52" s="252"/>
      <c r="AC52" s="252">
        <f>'1.sz.m-önk.össze.bev'!AC59</f>
        <v>0</v>
      </c>
      <c r="AD52" s="252">
        <f>'1.sz.m-önk.össze.bev'!AD59</f>
        <v>0</v>
      </c>
      <c r="AE52" s="252">
        <f>'1.sz.m-önk.össze.bev'!AE59</f>
        <v>0</v>
      </c>
      <c r="AF52" s="252">
        <f>'1.sz.m-önk.össze.bev'!AF59</f>
        <v>0</v>
      </c>
      <c r="AG52" s="252">
        <f>'1.sz.m-önk.össze.bev'!AG59</f>
        <v>0</v>
      </c>
      <c r="AH52" s="252">
        <f>'1.sz.m-önk.össze.bev'!AH59</f>
        <v>0</v>
      </c>
      <c r="AI52" s="252">
        <f>'1.sz.m-önk.össze.bev'!AI59</f>
        <v>0</v>
      </c>
      <c r="AJ52" s="252"/>
      <c r="AK52" s="252">
        <f>'1.sz.m-önk.össze.bev'!AK59</f>
        <v>0</v>
      </c>
    </row>
    <row r="53" spans="1:37" ht="27.75" customHeight="1" thickBot="1">
      <c r="A53" s="246" t="s">
        <v>10</v>
      </c>
      <c r="B53" s="1476" t="s">
        <v>455</v>
      </c>
      <c r="C53" s="1477"/>
      <c r="D53" s="1478"/>
      <c r="E53" s="253">
        <f aca="true" t="shared" si="25" ref="E53:J53">E51+E52</f>
        <v>0</v>
      </c>
      <c r="F53" s="253">
        <f t="shared" si="25"/>
        <v>0</v>
      </c>
      <c r="G53" s="253">
        <f t="shared" si="25"/>
        <v>0</v>
      </c>
      <c r="H53" s="253">
        <f t="shared" si="25"/>
        <v>0</v>
      </c>
      <c r="I53" s="253">
        <f t="shared" si="25"/>
        <v>0</v>
      </c>
      <c r="J53" s="253">
        <f t="shared" si="25"/>
        <v>0</v>
      </c>
      <c r="K53" s="253">
        <v>0</v>
      </c>
      <c r="L53" s="253"/>
      <c r="M53" s="253">
        <f aca="true" t="shared" si="26" ref="M53:AK53">M51+M52</f>
        <v>0</v>
      </c>
      <c r="N53" s="253">
        <f t="shared" si="26"/>
        <v>0</v>
      </c>
      <c r="O53" s="253">
        <f t="shared" si="26"/>
        <v>0</v>
      </c>
      <c r="P53" s="253">
        <f t="shared" si="26"/>
        <v>0</v>
      </c>
      <c r="Q53" s="253">
        <f t="shared" si="26"/>
        <v>0</v>
      </c>
      <c r="R53" s="253">
        <f>R51+R52</f>
        <v>0</v>
      </c>
      <c r="S53" s="253">
        <f>S51+S52</f>
        <v>0</v>
      </c>
      <c r="T53" s="253"/>
      <c r="U53" s="253">
        <f t="shared" si="26"/>
        <v>0</v>
      </c>
      <c r="V53" s="253">
        <f t="shared" si="26"/>
        <v>0</v>
      </c>
      <c r="W53" s="253">
        <f t="shared" si="26"/>
        <v>0</v>
      </c>
      <c r="X53" s="253">
        <f t="shared" si="26"/>
        <v>0</v>
      </c>
      <c r="Y53" s="253">
        <f t="shared" si="26"/>
        <v>0</v>
      </c>
      <c r="Z53" s="253">
        <f t="shared" si="26"/>
        <v>0</v>
      </c>
      <c r="AA53" s="253">
        <f>AA51+AA52</f>
        <v>0</v>
      </c>
      <c r="AB53" s="253"/>
      <c r="AC53" s="253">
        <f t="shared" si="26"/>
        <v>0</v>
      </c>
      <c r="AD53" s="253">
        <f t="shared" si="26"/>
        <v>0</v>
      </c>
      <c r="AE53" s="253">
        <f t="shared" si="26"/>
        <v>0</v>
      </c>
      <c r="AF53" s="253">
        <f t="shared" si="26"/>
        <v>0</v>
      </c>
      <c r="AG53" s="253">
        <f t="shared" si="26"/>
        <v>0</v>
      </c>
      <c r="AH53" s="253">
        <f t="shared" si="26"/>
        <v>0</v>
      </c>
      <c r="AI53" s="253">
        <f>AI51+AI52</f>
        <v>1</v>
      </c>
      <c r="AJ53" s="253"/>
      <c r="AK53" s="253">
        <f t="shared" si="26"/>
        <v>0</v>
      </c>
    </row>
    <row r="54" spans="1:33" ht="15.75">
      <c r="A54" s="109"/>
      <c r="B54" s="56"/>
      <c r="C54" s="233"/>
      <c r="D54" s="234"/>
      <c r="E54" s="235"/>
      <c r="F54" s="235"/>
      <c r="G54" s="235"/>
      <c r="H54" s="235"/>
      <c r="I54" s="235"/>
      <c r="J54" s="235"/>
      <c r="K54" s="235"/>
      <c r="L54" s="235"/>
      <c r="M54" s="229"/>
      <c r="N54" s="229"/>
      <c r="O54" s="229"/>
      <c r="P54" s="229"/>
      <c r="Q54" s="229"/>
      <c r="R54" s="229"/>
      <c r="S54" s="229"/>
      <c r="T54" s="229"/>
      <c r="U54" s="230"/>
      <c r="V54" s="230"/>
      <c r="W54" s="230"/>
      <c r="X54" s="230"/>
      <c r="Y54" s="230"/>
      <c r="Z54" s="230"/>
      <c r="AA54" s="230"/>
      <c r="AB54" s="230"/>
      <c r="AG54" s="66"/>
    </row>
    <row r="55" spans="1:29" ht="15.75" customHeight="1">
      <c r="A55" s="109"/>
      <c r="B55" s="56"/>
      <c r="C55" s="1481" t="s">
        <v>55</v>
      </c>
      <c r="D55" s="1481"/>
      <c r="E55" s="1481"/>
      <c r="F55" s="1481"/>
      <c r="G55" s="1481"/>
      <c r="H55" s="1481"/>
      <c r="I55" s="1481"/>
      <c r="J55" s="1481"/>
      <c r="K55" s="1481"/>
      <c r="L55" s="1481"/>
      <c r="M55" s="1481"/>
      <c r="N55" s="1481"/>
      <c r="O55" s="1481"/>
      <c r="P55" s="1481"/>
      <c r="Q55" s="1481"/>
      <c r="R55" s="1481"/>
      <c r="S55" s="1481"/>
      <c r="T55" s="1481"/>
      <c r="U55" s="1461"/>
      <c r="V55" s="291"/>
      <c r="W55" s="291"/>
      <c r="X55" s="291"/>
      <c r="Y55" s="291"/>
      <c r="Z55" s="291"/>
      <c r="AA55" s="291"/>
      <c r="AB55" s="291"/>
      <c r="AC55" s="125"/>
    </row>
    <row r="56" spans="1:28" ht="15.75">
      <c r="A56" s="109"/>
      <c r="B56" s="5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237"/>
      <c r="O56" s="237"/>
      <c r="P56" s="237"/>
      <c r="Q56" s="237"/>
      <c r="R56" s="237"/>
      <c r="S56" s="237"/>
      <c r="T56" s="237"/>
      <c r="U56" s="238"/>
      <c r="V56" s="238"/>
      <c r="W56" s="238"/>
      <c r="X56" s="238"/>
      <c r="Y56" s="238"/>
      <c r="Z56" s="238"/>
      <c r="AA56" s="238"/>
      <c r="AB56" s="238"/>
    </row>
    <row r="57" spans="1:28" ht="16.5" thickBot="1">
      <c r="A57" s="250" t="s">
        <v>195</v>
      </c>
      <c r="C57" s="1482"/>
      <c r="D57" s="1482"/>
      <c r="E57" s="236"/>
      <c r="F57" s="236"/>
      <c r="G57" s="236"/>
      <c r="H57" s="236"/>
      <c r="I57" s="236"/>
      <c r="J57" s="236"/>
      <c r="K57" s="236"/>
      <c r="L57" s="236"/>
      <c r="M57" s="237"/>
      <c r="N57" s="237"/>
      <c r="O57" s="237"/>
      <c r="P57" s="237"/>
      <c r="Q57" s="237"/>
      <c r="R57" s="237"/>
      <c r="S57" s="237"/>
      <c r="T57" s="237"/>
      <c r="U57" s="238"/>
      <c r="V57" s="238"/>
      <c r="W57" s="238"/>
      <c r="X57" s="238"/>
      <c r="Y57" s="238"/>
      <c r="Z57" s="238"/>
      <c r="AA57" s="238"/>
      <c r="AB57" s="238"/>
    </row>
    <row r="58" spans="1:36" ht="27" customHeight="1">
      <c r="A58" s="257" t="s">
        <v>27</v>
      </c>
      <c r="B58" s="1479" t="s">
        <v>159</v>
      </c>
      <c r="C58" s="1479"/>
      <c r="D58" s="1479"/>
      <c r="E58" s="258">
        <f>E59-E62</f>
        <v>105893701</v>
      </c>
      <c r="F58" s="258">
        <f>F59-F62</f>
        <v>105828061</v>
      </c>
      <c r="G58" s="258">
        <f>G59-G62</f>
        <v>105828061</v>
      </c>
      <c r="H58" s="258">
        <f>H59-H62</f>
        <v>105828061</v>
      </c>
      <c r="I58" s="258">
        <f>I59-I62</f>
        <v>105828061</v>
      </c>
      <c r="J58" s="258">
        <f aca="true" t="shared" si="27" ref="J58:AH58">J59-J62</f>
        <v>115592441</v>
      </c>
      <c r="K58" s="258">
        <f>K59-K62</f>
        <v>115592441</v>
      </c>
      <c r="L58" s="258"/>
      <c r="M58" s="258">
        <f t="shared" si="27"/>
        <v>105893701</v>
      </c>
      <c r="N58" s="258">
        <f t="shared" si="27"/>
        <v>105828061</v>
      </c>
      <c r="O58" s="258">
        <f>O59-O62</f>
        <v>105828061</v>
      </c>
      <c r="P58" s="258">
        <f>P59-P62</f>
        <v>105828061</v>
      </c>
      <c r="Q58" s="258">
        <f>Q59-Q62</f>
        <v>105828061</v>
      </c>
      <c r="R58" s="258">
        <f>R59-R62</f>
        <v>115592441</v>
      </c>
      <c r="S58" s="258">
        <f>S59-S62</f>
        <v>115592441</v>
      </c>
      <c r="T58" s="258"/>
      <c r="U58" s="258">
        <f t="shared" si="27"/>
        <v>0</v>
      </c>
      <c r="V58" s="258">
        <f t="shared" si="27"/>
        <v>0</v>
      </c>
      <c r="W58" s="258">
        <f t="shared" si="27"/>
        <v>0</v>
      </c>
      <c r="X58" s="258">
        <f t="shared" si="27"/>
        <v>0</v>
      </c>
      <c r="Y58" s="258">
        <f t="shared" si="27"/>
        <v>0</v>
      </c>
      <c r="Z58" s="258">
        <f t="shared" si="27"/>
        <v>0</v>
      </c>
      <c r="AA58" s="258">
        <f>AA59-AA62</f>
        <v>0</v>
      </c>
      <c r="AB58" s="258"/>
      <c r="AC58" s="258">
        <f t="shared" si="27"/>
        <v>0</v>
      </c>
      <c r="AD58" s="258">
        <f t="shared" si="27"/>
        <v>0</v>
      </c>
      <c r="AE58" s="258">
        <f t="shared" si="27"/>
        <v>0</v>
      </c>
      <c r="AF58" s="258">
        <f t="shared" si="27"/>
        <v>0</v>
      </c>
      <c r="AG58" s="258">
        <f t="shared" si="27"/>
        <v>0</v>
      </c>
      <c r="AH58" s="258">
        <f t="shared" si="27"/>
        <v>0</v>
      </c>
      <c r="AI58" s="258">
        <f>AI59-AI62</f>
        <v>0</v>
      </c>
      <c r="AJ58" s="258"/>
    </row>
    <row r="59" spans="1:36" ht="27" customHeight="1">
      <c r="A59" s="254" t="s">
        <v>160</v>
      </c>
      <c r="B59" s="1480" t="s">
        <v>463</v>
      </c>
      <c r="C59" s="1480"/>
      <c r="D59" s="1480"/>
      <c r="E59" s="259">
        <f>'1.sz.m-önk.össze.bev'!E58</f>
        <v>146539860</v>
      </c>
      <c r="F59" s="259">
        <f>'1.sz.m-önk.össze.bev'!F58</f>
        <v>146474220</v>
      </c>
      <c r="G59" s="259">
        <f>'1.sz.m-önk.össze.bev'!G58</f>
        <v>146474220</v>
      </c>
      <c r="H59" s="259">
        <f>'1.sz.m-önk.össze.bev'!H58</f>
        <v>146474220</v>
      </c>
      <c r="I59" s="259">
        <f>'1.sz.m-önk.össze.bev'!I58</f>
        <v>146474220</v>
      </c>
      <c r="J59" s="259">
        <f>'1.sz.m-önk.össze.bev'!J58</f>
        <v>156238600</v>
      </c>
      <c r="K59" s="259">
        <f>'1.sz.m-önk.össze.bev'!K58</f>
        <v>156238600</v>
      </c>
      <c r="L59" s="259"/>
      <c r="M59" s="259">
        <f>'1.sz.m-önk.össze.bev'!M58</f>
        <v>146539860</v>
      </c>
      <c r="N59" s="259">
        <f>'1.sz.m-önk.össze.bev'!N58</f>
        <v>146474220</v>
      </c>
      <c r="O59" s="259">
        <f>'1.sz.m-önk.össze.bev'!O58</f>
        <v>146474220</v>
      </c>
      <c r="P59" s="259">
        <f>'1.sz.m-önk.össze.bev'!P58</f>
        <v>146474220</v>
      </c>
      <c r="Q59" s="259">
        <f>'1.sz.m-önk.össze.bev'!Q58</f>
        <v>146474220</v>
      </c>
      <c r="R59" s="259">
        <f>'1.sz.m-önk.össze.bev'!R58</f>
        <v>156238600</v>
      </c>
      <c r="S59" s="259">
        <f>'1.sz.m-önk.össze.bev'!S58</f>
        <v>156238600</v>
      </c>
      <c r="T59" s="259"/>
      <c r="U59" s="259">
        <f>'1.sz.m-önk.össze.bev'!U58</f>
        <v>0</v>
      </c>
      <c r="V59" s="259">
        <f>'1.sz.m-önk.össze.bev'!V58</f>
        <v>0</v>
      </c>
      <c r="W59" s="259">
        <f>'1.sz.m-önk.össze.bev'!W58</f>
        <v>0</v>
      </c>
      <c r="X59" s="259">
        <f>'1.sz.m-önk.össze.bev'!X58</f>
        <v>0</v>
      </c>
      <c r="Y59" s="259">
        <f>'1.sz.m-önk.össze.bev'!Y58</f>
        <v>0</v>
      </c>
      <c r="Z59" s="259">
        <f>'1.sz.m-önk.össze.bev'!Z58</f>
        <v>0</v>
      </c>
      <c r="AA59" s="259">
        <f>'1.sz.m-önk.össze.bev'!AA58</f>
        <v>0</v>
      </c>
      <c r="AB59" s="259"/>
      <c r="AC59" s="259">
        <f>'1.sz.m-önk.össze.bev'!AC58</f>
        <v>0</v>
      </c>
      <c r="AD59" s="259">
        <f>'1.sz.m-önk.össze.bev'!AD58</f>
        <v>0</v>
      </c>
      <c r="AE59" s="259">
        <f>'1.sz.m-önk.össze.bev'!AE58</f>
        <v>0</v>
      </c>
      <c r="AF59" s="259">
        <f>'1.sz.m-önk.össze.bev'!AF58</f>
        <v>0</v>
      </c>
      <c r="AG59" s="259">
        <f>'1.sz.m-önk.össze.bev'!AG58</f>
        <v>0</v>
      </c>
      <c r="AH59" s="259">
        <f>'1.sz.m-önk.össze.bev'!AH58</f>
        <v>0</v>
      </c>
      <c r="AI59" s="259">
        <f>'1.sz.m-önk.össze.bev'!AI58</f>
        <v>0</v>
      </c>
      <c r="AJ59" s="259"/>
    </row>
    <row r="60" spans="1:36" ht="27" customHeight="1">
      <c r="A60" s="254" t="s">
        <v>161</v>
      </c>
      <c r="B60" s="1460" t="s">
        <v>199</v>
      </c>
      <c r="C60" s="1460"/>
      <c r="D60" s="1460"/>
      <c r="E60" s="259">
        <f>'1.sz.m-önk.össze.bev'!E61-'2.sz.m.összehasonlító'!B27+'1.sz.m-önk.össze.bev'!E60</f>
        <v>106716078</v>
      </c>
      <c r="F60" s="259">
        <f>'1.sz.m-önk.össze.bev'!F61-'2.sz.m.összehasonlító'!C27+'1.sz.m-önk.össze.bev'!F60</f>
        <v>106142679</v>
      </c>
      <c r="G60" s="259">
        <f>'1.sz.m-önk.össze.bev'!G61-'2.sz.m.összehasonlító'!D27</f>
        <v>55667605</v>
      </c>
      <c r="H60" s="259">
        <f>'1.sz.m-önk.össze.bev'!H61-'2.sz.m.összehasonlító'!E27</f>
        <v>61007482</v>
      </c>
      <c r="I60" s="259">
        <f>'1.sz.m-önk.össze.bev'!I61-'2.sz.m.összehasonlító'!F27</f>
        <v>51374717</v>
      </c>
      <c r="J60" s="259">
        <f>'1.sz.m-önk.össze.bev'!J61-'2.sz.m.összehasonlító'!G27</f>
        <v>41519452</v>
      </c>
      <c r="K60" s="259">
        <f>'1.sz.m-önk.össze.bev'!K61-'2.sz.m.összehasonlító'!H27</f>
        <v>41519452</v>
      </c>
      <c r="L60" s="259"/>
      <c r="M60" s="259">
        <f>'1.sz.m-önk.össze.bev'!E61-'2.sz.m.összehasonlító'!B27+'1.sz.m-önk.össze.bev'!E60</f>
        <v>106716078</v>
      </c>
      <c r="N60" s="259">
        <f>'1.sz.m-önk.össze.bev'!F61-'2.sz.m.összehasonlító'!C27+'1.sz.m-önk.össze.bev'!F60</f>
        <v>106142679</v>
      </c>
      <c r="O60" s="259">
        <f>'1.sz.m-önk.össze.bev'!G61-'2.sz.m.összehasonlító'!D27+'1.sz.m-önk.össze.bev'!G60</f>
        <v>84437605</v>
      </c>
      <c r="P60" s="259">
        <f>'1.sz.m-önk.össze.bev'!H61-'2.sz.m.összehasonlító'!E27+'1.sz.m-önk.össze.bev'!H60</f>
        <v>89777482</v>
      </c>
      <c r="Q60" s="259">
        <f>'1.sz.m-önk.össze.bev'!I61-'2.sz.m.összehasonlító'!F27+'1.sz.m-önk.össze.bev'!I60</f>
        <v>80144717</v>
      </c>
      <c r="R60" s="259">
        <f>'1.sz.m-önk.össze.bev'!R61</f>
        <v>117704220</v>
      </c>
      <c r="S60" s="259">
        <f>'1.sz.m-önk.össze.bev'!S61</f>
        <v>117704220</v>
      </c>
      <c r="T60" s="259"/>
      <c r="U60" s="259">
        <f>'1.sz.m-önk.össze.bev'!U61</f>
        <v>0</v>
      </c>
      <c r="V60" s="259">
        <f>'1.sz.m-önk.össze.bev'!V61</f>
        <v>0</v>
      </c>
      <c r="W60" s="259">
        <f>'1.sz.m-önk.össze.bev'!W61</f>
        <v>0</v>
      </c>
      <c r="X60" s="259">
        <f>'1.sz.m-önk.össze.bev'!X61</f>
        <v>0</v>
      </c>
      <c r="Y60" s="259">
        <f>'1.sz.m-önk.össze.bev'!Y61</f>
        <v>0</v>
      </c>
      <c r="Z60" s="259">
        <f>'1.sz.m-önk.össze.bev'!Z61</f>
        <v>0</v>
      </c>
      <c r="AA60" s="259">
        <f>'1.sz.m-önk.össze.bev'!AA61</f>
        <v>0</v>
      </c>
      <c r="AB60" s="259"/>
      <c r="AC60" s="259">
        <f>'1.sz.m-önk.össze.bev'!AC61</f>
        <v>0</v>
      </c>
      <c r="AD60" s="259">
        <f>'1.sz.m-önk.össze.bev'!AD61</f>
        <v>0</v>
      </c>
      <c r="AE60" s="259">
        <f>'1.sz.m-önk.össze.bev'!AE61</f>
        <v>0</v>
      </c>
      <c r="AF60" s="259">
        <f>'1.sz.m-önk.össze.bev'!AF61</f>
        <v>0</v>
      </c>
      <c r="AG60" s="259">
        <f>'1.sz.m-önk.össze.bev'!AG61</f>
        <v>0</v>
      </c>
      <c r="AH60" s="259">
        <f>'1.sz.m-önk.össze.bev'!AH61</f>
        <v>0</v>
      </c>
      <c r="AI60" s="259">
        <f>'1.sz.m-önk.össze.bev'!AI61</f>
        <v>0</v>
      </c>
      <c r="AJ60" s="259"/>
    </row>
    <row r="61" spans="1:36" ht="27" customHeight="1">
      <c r="A61" s="255" t="s">
        <v>162</v>
      </c>
      <c r="B61" s="1460" t="s">
        <v>200</v>
      </c>
      <c r="C61" s="1460"/>
      <c r="D61" s="1460"/>
      <c r="E61" s="259">
        <f>'1.sz.m-önk.össze.bev'!E59+'2.sz.m.összehasonlító'!B27</f>
        <v>39823782</v>
      </c>
      <c r="F61" s="259">
        <f>'1.sz.m-önk.össze.bev'!F59+'2.sz.m.összehasonlító'!C27</f>
        <v>40331541</v>
      </c>
      <c r="G61" s="259">
        <f>'1.sz.m-önk.össze.bev'!G59+'2.sz.m.összehasonlító'!D27</f>
        <v>62036615</v>
      </c>
      <c r="H61" s="259">
        <f>'1.sz.m-önk.össze.bev'!H59+'2.sz.m.összehasonlító'!E27</f>
        <v>56696738</v>
      </c>
      <c r="I61" s="259">
        <f>'1.sz.m-önk.össze.bev'!I59+'2.sz.m.összehasonlító'!F27</f>
        <v>66329503</v>
      </c>
      <c r="J61" s="259">
        <f>'1.sz.m-önk.össze.bev'!J59+'2.sz.m.összehasonlító'!G27</f>
        <v>85949148</v>
      </c>
      <c r="K61" s="259">
        <f>'1.sz.m-önk.össze.bev'!K59+'2.sz.m.összehasonlító'!H27</f>
        <v>85949148</v>
      </c>
      <c r="L61" s="259"/>
      <c r="M61" s="259">
        <f>'1.sz.m-önk.össze.bev'!M59+'2.sz.m.összehasonlító'!B27</f>
        <v>39823782</v>
      </c>
      <c r="N61" s="259">
        <f>'1.sz.m-önk.össze.bev'!N59+'2.sz.m.összehasonlító'!C27</f>
        <v>40331541</v>
      </c>
      <c r="O61" s="259">
        <f>'1.sz.m-önk.össze.bev'!O59+'2.sz.m.összehasonlító'!D27</f>
        <v>62036615</v>
      </c>
      <c r="P61" s="259">
        <f>'1.sz.m-önk.össze.bev'!P59+'2.sz.m.összehasonlító'!E27</f>
        <v>56696738</v>
      </c>
      <c r="Q61" s="259">
        <f>'1.sz.m-önk.össze.bev'!Q59+'2.sz.m.összehasonlító'!F27</f>
        <v>66329503</v>
      </c>
      <c r="R61" s="259">
        <f>'1.sz.m-önk.össze.bev'!R59</f>
        <v>9764380</v>
      </c>
      <c r="S61" s="259">
        <f>'1.sz.m-önk.össze.bev'!S59</f>
        <v>9764380</v>
      </c>
      <c r="T61" s="259"/>
      <c r="U61" s="259">
        <f>'1.sz.m-önk.össze.bev'!U59</f>
        <v>0</v>
      </c>
      <c r="V61" s="259">
        <f>'1.sz.m-önk.össze.bev'!V59</f>
        <v>0</v>
      </c>
      <c r="W61" s="259">
        <f>'1.sz.m-önk.össze.bev'!W59</f>
        <v>0</v>
      </c>
      <c r="X61" s="259">
        <f>'1.sz.m-önk.össze.bev'!X59</f>
        <v>0</v>
      </c>
      <c r="Y61" s="259">
        <f>'1.sz.m-önk.össze.bev'!Y59</f>
        <v>0</v>
      </c>
      <c r="Z61" s="259">
        <f>'1.sz.m-önk.össze.bev'!Z59</f>
        <v>0</v>
      </c>
      <c r="AA61" s="259">
        <f>'1.sz.m-önk.össze.bev'!AA59</f>
        <v>0</v>
      </c>
      <c r="AB61" s="259"/>
      <c r="AC61" s="259">
        <f>'1.sz.m-önk.össze.bev'!AC59</f>
        <v>0</v>
      </c>
      <c r="AD61" s="259">
        <f>'1.sz.m-önk.össze.bev'!AD59</f>
        <v>0</v>
      </c>
      <c r="AE61" s="259">
        <f>'1.sz.m-önk.össze.bev'!AE59</f>
        <v>0</v>
      </c>
      <c r="AF61" s="259">
        <f>'1.sz.m-önk.össze.bev'!AF59</f>
        <v>0</v>
      </c>
      <c r="AG61" s="259">
        <f>'1.sz.m-önk.össze.bev'!AG59</f>
        <v>0</v>
      </c>
      <c r="AH61" s="259">
        <f>'1.sz.m-önk.össze.bev'!AH59</f>
        <v>0</v>
      </c>
      <c r="AI61" s="259">
        <f>'1.sz.m-önk.össze.bev'!AI59</f>
        <v>0</v>
      </c>
      <c r="AJ61" s="259"/>
    </row>
    <row r="62" spans="1:36" ht="27" customHeight="1">
      <c r="A62" s="256" t="s">
        <v>163</v>
      </c>
      <c r="B62" s="1480" t="s">
        <v>464</v>
      </c>
      <c r="C62" s="1480"/>
      <c r="D62" s="1480"/>
      <c r="E62" s="260">
        <f>E30</f>
        <v>40646159</v>
      </c>
      <c r="F62" s="260">
        <f>F30</f>
        <v>40646159</v>
      </c>
      <c r="G62" s="260">
        <f>G30</f>
        <v>40646159</v>
      </c>
      <c r="H62" s="260">
        <f>H30</f>
        <v>40646159</v>
      </c>
      <c r="I62" s="260">
        <f>I30</f>
        <v>40646159</v>
      </c>
      <c r="J62" s="260">
        <f aca="true" t="shared" si="28" ref="J62:AH62">J30</f>
        <v>40646159</v>
      </c>
      <c r="K62" s="260">
        <f>K30</f>
        <v>40646159</v>
      </c>
      <c r="L62" s="260"/>
      <c r="M62" s="260">
        <f t="shared" si="28"/>
        <v>40646159</v>
      </c>
      <c r="N62" s="260">
        <f t="shared" si="28"/>
        <v>40646159</v>
      </c>
      <c r="O62" s="260">
        <f>O30</f>
        <v>40646159</v>
      </c>
      <c r="P62" s="260">
        <f>P30</f>
        <v>40646159</v>
      </c>
      <c r="Q62" s="260">
        <f>Q30</f>
        <v>40646159</v>
      </c>
      <c r="R62" s="260">
        <f>R30</f>
        <v>40646159</v>
      </c>
      <c r="S62" s="260">
        <f>S30</f>
        <v>40646159</v>
      </c>
      <c r="T62" s="260"/>
      <c r="U62" s="260">
        <f t="shared" si="28"/>
        <v>0</v>
      </c>
      <c r="V62" s="260">
        <f t="shared" si="28"/>
        <v>0</v>
      </c>
      <c r="W62" s="260">
        <f t="shared" si="28"/>
        <v>0</v>
      </c>
      <c r="X62" s="260">
        <f t="shared" si="28"/>
        <v>0</v>
      </c>
      <c r="Y62" s="260">
        <f t="shared" si="28"/>
        <v>0</v>
      </c>
      <c r="Z62" s="260">
        <f t="shared" si="28"/>
        <v>0</v>
      </c>
      <c r="AA62" s="260">
        <f>AA30</f>
        <v>0</v>
      </c>
      <c r="AB62" s="260"/>
      <c r="AC62" s="260">
        <f t="shared" si="28"/>
        <v>0</v>
      </c>
      <c r="AD62" s="260">
        <f t="shared" si="28"/>
        <v>0</v>
      </c>
      <c r="AE62" s="260">
        <f t="shared" si="28"/>
        <v>0</v>
      </c>
      <c r="AF62" s="260">
        <f t="shared" si="28"/>
        <v>0</v>
      </c>
      <c r="AG62" s="260">
        <f t="shared" si="28"/>
        <v>0</v>
      </c>
      <c r="AH62" s="260">
        <f t="shared" si="28"/>
        <v>0</v>
      </c>
      <c r="AI62" s="260">
        <f>AI30</f>
        <v>0</v>
      </c>
      <c r="AJ62" s="260"/>
    </row>
    <row r="63" spans="1:36" ht="27" customHeight="1">
      <c r="A63" s="254" t="s">
        <v>164</v>
      </c>
      <c r="B63" s="1460" t="s">
        <v>201</v>
      </c>
      <c r="C63" s="1460"/>
      <c r="D63" s="1460"/>
      <c r="E63" s="259">
        <f>E33+E32</f>
        <v>37622419</v>
      </c>
      <c r="F63" s="259">
        <f aca="true" t="shared" si="29" ref="F63:M63">F33+F32</f>
        <v>37622419</v>
      </c>
      <c r="G63" s="259">
        <f t="shared" si="29"/>
        <v>37622419</v>
      </c>
      <c r="H63" s="259">
        <f t="shared" si="29"/>
        <v>37622419</v>
      </c>
      <c r="I63" s="259">
        <f>I33+I32</f>
        <v>37622419</v>
      </c>
      <c r="J63" s="259">
        <f t="shared" si="29"/>
        <v>37622419</v>
      </c>
      <c r="K63" s="259">
        <f>K33+K32</f>
        <v>37622419</v>
      </c>
      <c r="L63" s="259"/>
      <c r="M63" s="259">
        <f t="shared" si="29"/>
        <v>37622419</v>
      </c>
      <c r="N63" s="259">
        <f aca="true" t="shared" si="30" ref="N63:S63">N62</f>
        <v>40646159</v>
      </c>
      <c r="O63" s="259">
        <f t="shared" si="30"/>
        <v>40646159</v>
      </c>
      <c r="P63" s="259">
        <f t="shared" si="30"/>
        <v>40646159</v>
      </c>
      <c r="Q63" s="259">
        <f t="shared" si="30"/>
        <v>40646159</v>
      </c>
      <c r="R63" s="259">
        <f t="shared" si="30"/>
        <v>40646159</v>
      </c>
      <c r="S63" s="259">
        <f t="shared" si="30"/>
        <v>40646159</v>
      </c>
      <c r="T63" s="259"/>
      <c r="U63" s="259">
        <v>0</v>
      </c>
      <c r="V63" s="259">
        <v>0</v>
      </c>
      <c r="W63" s="259">
        <v>0</v>
      </c>
      <c r="X63" s="259">
        <v>0</v>
      </c>
      <c r="Y63" s="259">
        <v>0</v>
      </c>
      <c r="Z63" s="259">
        <v>0</v>
      </c>
      <c r="AA63" s="259">
        <v>0</v>
      </c>
      <c r="AB63" s="259"/>
      <c r="AC63" s="259">
        <v>0</v>
      </c>
      <c r="AD63" s="259">
        <v>0</v>
      </c>
      <c r="AE63" s="259">
        <v>0</v>
      </c>
      <c r="AF63" s="259">
        <v>0</v>
      </c>
      <c r="AG63" s="259">
        <v>0</v>
      </c>
      <c r="AH63" s="259">
        <v>0</v>
      </c>
      <c r="AI63" s="259">
        <v>0</v>
      </c>
      <c r="AJ63" s="259"/>
    </row>
    <row r="64" spans="1:36" ht="27" customHeight="1" thickBot="1">
      <c r="A64" s="261" t="s">
        <v>165</v>
      </c>
      <c r="B64" s="1475" t="s">
        <v>202</v>
      </c>
      <c r="C64" s="1475"/>
      <c r="D64" s="1475"/>
      <c r="E64" s="262">
        <f>E31</f>
        <v>3023740</v>
      </c>
      <c r="F64" s="262">
        <f aca="true" t="shared" si="31" ref="F64:R64">F31</f>
        <v>3023740</v>
      </c>
      <c r="G64" s="262">
        <f t="shared" si="31"/>
        <v>3023740</v>
      </c>
      <c r="H64" s="262">
        <f t="shared" si="31"/>
        <v>3023740</v>
      </c>
      <c r="I64" s="262">
        <f>I31</f>
        <v>3023740</v>
      </c>
      <c r="J64" s="262">
        <f t="shared" si="31"/>
        <v>3023740</v>
      </c>
      <c r="K64" s="262">
        <f>K31</f>
        <v>3023740</v>
      </c>
      <c r="L64" s="262"/>
      <c r="M64" s="262">
        <f t="shared" si="31"/>
        <v>3023740</v>
      </c>
      <c r="N64" s="262">
        <f t="shared" si="31"/>
        <v>3023740</v>
      </c>
      <c r="O64" s="262">
        <f t="shared" si="31"/>
        <v>3023740</v>
      </c>
      <c r="P64" s="262">
        <f t="shared" si="31"/>
        <v>3023740</v>
      </c>
      <c r="Q64" s="262">
        <f t="shared" si="31"/>
        <v>3023740</v>
      </c>
      <c r="R64" s="262">
        <f t="shared" si="31"/>
        <v>3023740</v>
      </c>
      <c r="S64" s="262">
        <f>S31</f>
        <v>3023740</v>
      </c>
      <c r="T64" s="262"/>
      <c r="U64" s="262">
        <v>0</v>
      </c>
      <c r="V64" s="262">
        <v>0</v>
      </c>
      <c r="W64" s="262">
        <v>0</v>
      </c>
      <c r="X64" s="262">
        <v>0</v>
      </c>
      <c r="Y64" s="262">
        <v>0</v>
      </c>
      <c r="Z64" s="262">
        <v>0</v>
      </c>
      <c r="AA64" s="262">
        <v>0</v>
      </c>
      <c r="AB64" s="262"/>
      <c r="AC64" s="262">
        <v>0</v>
      </c>
      <c r="AD64" s="262">
        <v>0</v>
      </c>
      <c r="AE64" s="262">
        <v>0</v>
      </c>
      <c r="AF64" s="262">
        <v>0</v>
      </c>
      <c r="AG64" s="262">
        <v>0</v>
      </c>
      <c r="AH64" s="262">
        <v>0</v>
      </c>
      <c r="AI64" s="262">
        <v>0</v>
      </c>
      <c r="AJ64" s="262"/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U39"/>
    <mergeCell ref="C19:D19"/>
    <mergeCell ref="A1:AC1"/>
    <mergeCell ref="A3:D3"/>
    <mergeCell ref="B5:D5"/>
    <mergeCell ref="AC3:AJ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U55"/>
    <mergeCell ref="C57:D57"/>
    <mergeCell ref="B62:D62"/>
    <mergeCell ref="B63:D63"/>
    <mergeCell ref="C31:D31"/>
    <mergeCell ref="C49:U49"/>
    <mergeCell ref="A36:D36"/>
    <mergeCell ref="B41:D41"/>
    <mergeCell ref="C44:D44"/>
    <mergeCell ref="B46:D46"/>
    <mergeCell ref="B47:D47"/>
    <mergeCell ref="B45:D45"/>
    <mergeCell ref="C43:U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2017. ÉVI KÖLTSÉGVETÉSÉNEK ÖSSZEVONT MÉRLEGE&amp;R&amp;"MS Sans Serif,Félkövér dőlt"1. számú melléklet          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31" max="65" man="1"/>
    <brk id="3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view="pageLayout" workbookViewId="0" topLeftCell="A1">
      <selection activeCell="D68" sqref="D68"/>
    </sheetView>
  </sheetViews>
  <sheetFormatPr defaultColWidth="10.7109375" defaultRowHeight="12.75"/>
  <cols>
    <col min="1" max="1" width="67.7109375" style="1410" customWidth="1"/>
    <col min="2" max="2" width="6.140625" style="1410" customWidth="1"/>
    <col min="3" max="3" width="11.7109375" style="1410" customWidth="1"/>
    <col min="4" max="4" width="17.28125" style="1410" customWidth="1"/>
    <col min="5" max="5" width="13.28125" style="1410" customWidth="1"/>
    <col min="6" max="16384" width="10.7109375" style="1367" customWidth="1"/>
  </cols>
  <sheetData>
    <row r="1" spans="1:6" ht="48" customHeight="1">
      <c r="A1" s="1646" t="s">
        <v>1392</v>
      </c>
      <c r="B1" s="1646"/>
      <c r="C1" s="1646"/>
      <c r="D1" s="1646"/>
      <c r="E1" s="1646"/>
      <c r="F1" s="1321"/>
    </row>
    <row r="2" spans="1:6" ht="16.5" thickBot="1">
      <c r="A2" s="1368" t="s">
        <v>1391</v>
      </c>
      <c r="B2" s="1347"/>
      <c r="C2" s="1347"/>
      <c r="D2" s="1647" t="s">
        <v>1393</v>
      </c>
      <c r="E2" s="1647"/>
      <c r="F2" s="1321"/>
    </row>
    <row r="3" spans="1:6" ht="43.5" customHeight="1" thickBot="1">
      <c r="A3" s="1369" t="s">
        <v>4</v>
      </c>
      <c r="B3" s="1370" t="s">
        <v>6</v>
      </c>
      <c r="C3" s="1371" t="s">
        <v>1394</v>
      </c>
      <c r="D3" s="1372" t="s">
        <v>1395</v>
      </c>
      <c r="E3" s="1373" t="s">
        <v>1396</v>
      </c>
      <c r="F3" s="1321"/>
    </row>
    <row r="4" spans="1:6" ht="16.5" thickBot="1">
      <c r="A4" s="1374" t="s">
        <v>687</v>
      </c>
      <c r="B4" s="1375" t="s">
        <v>15</v>
      </c>
      <c r="C4" s="1375" t="s">
        <v>688</v>
      </c>
      <c r="D4" s="1376" t="s">
        <v>689</v>
      </c>
      <c r="E4" s="1377"/>
      <c r="F4" s="1321"/>
    </row>
    <row r="5" spans="1:6" ht="15.75" customHeight="1">
      <c r="A5" s="1378" t="s">
        <v>1397</v>
      </c>
      <c r="B5" s="1379" t="s">
        <v>27</v>
      </c>
      <c r="C5" s="1380">
        <v>66</v>
      </c>
      <c r="D5" s="1381">
        <v>16470797</v>
      </c>
      <c r="E5" s="1382"/>
      <c r="F5" s="1321"/>
    </row>
    <row r="6" spans="1:6" ht="15.75" customHeight="1">
      <c r="A6" s="1378" t="s">
        <v>1398</v>
      </c>
      <c r="B6" s="1383" t="s">
        <v>28</v>
      </c>
      <c r="C6" s="1384"/>
      <c r="D6" s="1385"/>
      <c r="E6" s="1386"/>
      <c r="F6" s="1321"/>
    </row>
    <row r="7" spans="1:6" ht="15.75" customHeight="1">
      <c r="A7" s="1378" t="s">
        <v>1399</v>
      </c>
      <c r="B7" s="1387" t="s">
        <v>10</v>
      </c>
      <c r="C7" s="1384">
        <v>9</v>
      </c>
      <c r="D7" s="1385">
        <v>611864</v>
      </c>
      <c r="E7" s="1386"/>
      <c r="F7" s="1321"/>
    </row>
    <row r="8" spans="1:6" ht="15.75" customHeight="1" thickBot="1">
      <c r="A8" s="1388" t="s">
        <v>1400</v>
      </c>
      <c r="B8" s="1389" t="s">
        <v>11</v>
      </c>
      <c r="C8" s="1390"/>
      <c r="D8" s="1391"/>
      <c r="E8" s="1392"/>
      <c r="F8" s="1321"/>
    </row>
    <row r="9" spans="1:6" ht="15.75" customHeight="1" thickBot="1">
      <c r="A9" s="1393" t="s">
        <v>1401</v>
      </c>
      <c r="B9" s="1394" t="s">
        <v>12</v>
      </c>
      <c r="C9" s="1395"/>
      <c r="D9" s="1411"/>
      <c r="E9" s="1396">
        <f>SUM(E5:E8)</f>
        <v>0</v>
      </c>
      <c r="F9" s="1321"/>
    </row>
    <row r="10" spans="1:6" ht="15.75" customHeight="1">
      <c r="A10" s="1397" t="s">
        <v>1402</v>
      </c>
      <c r="B10" s="1379" t="s">
        <v>13</v>
      </c>
      <c r="C10" s="1380"/>
      <c r="D10" s="1398"/>
      <c r="E10" s="1382"/>
      <c r="F10" s="1321"/>
    </row>
    <row r="11" spans="1:6" ht="15.75" customHeight="1">
      <c r="A11" s="1378" t="s">
        <v>1403</v>
      </c>
      <c r="B11" s="1399" t="s">
        <v>14</v>
      </c>
      <c r="C11" s="1384"/>
      <c r="D11" s="1385"/>
      <c r="E11" s="1400"/>
      <c r="F11" s="1321"/>
    </row>
    <row r="12" spans="1:6" ht="15.75" customHeight="1">
      <c r="A12" s="1378" t="s">
        <v>1404</v>
      </c>
      <c r="B12" s="1399" t="s">
        <v>57</v>
      </c>
      <c r="C12" s="1384"/>
      <c r="D12" s="1385"/>
      <c r="E12" s="1400"/>
      <c r="F12" s="1321"/>
    </row>
    <row r="13" spans="1:6" ht="15.75" customHeight="1" thickBot="1">
      <c r="A13" s="1388" t="s">
        <v>1405</v>
      </c>
      <c r="B13" s="1389" t="s">
        <v>58</v>
      </c>
      <c r="C13" s="1390"/>
      <c r="D13" s="1391"/>
      <c r="E13" s="1401"/>
      <c r="F13" s="1321"/>
    </row>
    <row r="14" spans="1:6" ht="15.75" customHeight="1" thickBot="1">
      <c r="A14" s="1393" t="s">
        <v>1406</v>
      </c>
      <c r="B14" s="1402" t="s">
        <v>405</v>
      </c>
      <c r="C14" s="1403"/>
      <c r="D14" s="1404">
        <f>+D15+D16+D17</f>
        <v>0</v>
      </c>
      <c r="E14" s="1377"/>
      <c r="F14" s="1321"/>
    </row>
    <row r="15" spans="1:6" ht="15.75" customHeight="1">
      <c r="A15" s="1397" t="s">
        <v>1407</v>
      </c>
      <c r="B15" s="1379" t="s">
        <v>407</v>
      </c>
      <c r="C15" s="1380"/>
      <c r="D15" s="1398"/>
      <c r="E15" s="1405"/>
      <c r="F15" s="1321"/>
    </row>
    <row r="16" spans="1:6" ht="15.75" customHeight="1">
      <c r="A16" s="1378" t="s">
        <v>1408</v>
      </c>
      <c r="B16" s="1399" t="s">
        <v>408</v>
      </c>
      <c r="C16" s="1384"/>
      <c r="D16" s="1385"/>
      <c r="E16" s="1400"/>
      <c r="F16" s="1321"/>
    </row>
    <row r="17" spans="1:6" ht="15.75" customHeight="1" thickBot="1">
      <c r="A17" s="1388" t="s">
        <v>1409</v>
      </c>
      <c r="B17" s="1389" t="s">
        <v>409</v>
      </c>
      <c r="C17" s="1390"/>
      <c r="D17" s="1391"/>
      <c r="E17" s="1401"/>
      <c r="F17" s="1321"/>
    </row>
    <row r="18" spans="1:6" ht="15.75" customHeight="1" thickBot="1">
      <c r="A18" s="1393" t="s">
        <v>1410</v>
      </c>
      <c r="B18" s="1402" t="s">
        <v>410</v>
      </c>
      <c r="C18" s="1403"/>
      <c r="D18" s="1404">
        <f>+D19+D20+D21</f>
        <v>0</v>
      </c>
      <c r="E18" s="1377"/>
      <c r="F18" s="1321"/>
    </row>
    <row r="19" spans="1:6" ht="15.75" customHeight="1">
      <c r="A19" s="1397" t="s">
        <v>1411</v>
      </c>
      <c r="B19" s="1379" t="s">
        <v>411</v>
      </c>
      <c r="C19" s="1380"/>
      <c r="D19" s="1398"/>
      <c r="E19" s="1405"/>
      <c r="F19" s="1321"/>
    </row>
    <row r="20" spans="1:6" ht="15.75" customHeight="1">
      <c r="A20" s="1378" t="s">
        <v>1412</v>
      </c>
      <c r="B20" s="1399" t="s">
        <v>708</v>
      </c>
      <c r="C20" s="1384"/>
      <c r="D20" s="1385"/>
      <c r="E20" s="1400"/>
      <c r="F20" s="1321"/>
    </row>
    <row r="21" spans="1:6" ht="15.75" customHeight="1">
      <c r="A21" s="1378" t="s">
        <v>1413</v>
      </c>
      <c r="B21" s="1399" t="s">
        <v>710</v>
      </c>
      <c r="C21" s="1384"/>
      <c r="D21" s="1385"/>
      <c r="E21" s="1400"/>
      <c r="F21" s="1321"/>
    </row>
    <row r="22" spans="1:6" ht="15.75" customHeight="1">
      <c r="A22" s="1378" t="s">
        <v>1414</v>
      </c>
      <c r="B22" s="1399" t="s">
        <v>712</v>
      </c>
      <c r="C22" s="1384"/>
      <c r="D22" s="1385"/>
      <c r="E22" s="1400"/>
      <c r="F22" s="1321"/>
    </row>
    <row r="23" spans="1:6" ht="15.75" customHeight="1">
      <c r="A23" s="1378"/>
      <c r="B23" s="1399" t="s">
        <v>714</v>
      </c>
      <c r="C23" s="1384"/>
      <c r="D23" s="1385"/>
      <c r="E23" s="1400"/>
      <c r="F23" s="1321"/>
    </row>
    <row r="24" spans="1:6" ht="15.75" customHeight="1">
      <c r="A24" s="1378"/>
      <c r="B24" s="1399" t="s">
        <v>715</v>
      </c>
      <c r="C24" s="1384"/>
      <c r="D24" s="1385"/>
      <c r="E24" s="1400"/>
      <c r="F24" s="1321"/>
    </row>
    <row r="25" spans="1:6" ht="15.75" customHeight="1">
      <c r="A25" s="1378"/>
      <c r="B25" s="1399" t="s">
        <v>1298</v>
      </c>
      <c r="C25" s="1384"/>
      <c r="D25" s="1385"/>
      <c r="E25" s="1400"/>
      <c r="F25" s="1321"/>
    </row>
    <row r="26" spans="1:6" ht="15.75" customHeight="1">
      <c r="A26" s="1378"/>
      <c r="B26" s="1399" t="s">
        <v>1300</v>
      </c>
      <c r="C26" s="1384"/>
      <c r="D26" s="1385"/>
      <c r="E26" s="1400"/>
      <c r="F26" s="1321"/>
    </row>
    <row r="27" spans="1:6" ht="15.75" customHeight="1">
      <c r="A27" s="1378"/>
      <c r="B27" s="1399" t="s">
        <v>1302</v>
      </c>
      <c r="C27" s="1384"/>
      <c r="D27" s="1385"/>
      <c r="E27" s="1400"/>
      <c r="F27" s="1321"/>
    </row>
    <row r="28" spans="1:6" ht="15.75" customHeight="1">
      <c r="A28" s="1378"/>
      <c r="B28" s="1399" t="s">
        <v>1304</v>
      </c>
      <c r="C28" s="1384"/>
      <c r="D28" s="1385"/>
      <c r="E28" s="1400"/>
      <c r="F28" s="1321"/>
    </row>
    <row r="29" spans="1:6" ht="15.75" customHeight="1">
      <c r="A29" s="1378"/>
      <c r="B29" s="1399" t="s">
        <v>1306</v>
      </c>
      <c r="C29" s="1384"/>
      <c r="D29" s="1385"/>
      <c r="E29" s="1400"/>
      <c r="F29" s="1321"/>
    </row>
    <row r="30" spans="1:6" ht="15.75" customHeight="1">
      <c r="A30" s="1378"/>
      <c r="B30" s="1399" t="s">
        <v>1308</v>
      </c>
      <c r="C30" s="1384"/>
      <c r="D30" s="1385"/>
      <c r="E30" s="1400"/>
      <c r="F30" s="1321"/>
    </row>
    <row r="31" spans="1:6" ht="15.75" customHeight="1">
      <c r="A31" s="1378"/>
      <c r="B31" s="1399" t="s">
        <v>1310</v>
      </c>
      <c r="C31" s="1384"/>
      <c r="D31" s="1385"/>
      <c r="E31" s="1400"/>
      <c r="F31" s="1321"/>
    </row>
    <row r="32" spans="1:6" ht="15.75" customHeight="1">
      <c r="A32" s="1378"/>
      <c r="B32" s="1399" t="s">
        <v>1312</v>
      </c>
      <c r="C32" s="1384"/>
      <c r="D32" s="1385"/>
      <c r="E32" s="1400"/>
      <c r="F32" s="1321"/>
    </row>
    <row r="33" spans="1:6" ht="15.75" customHeight="1">
      <c r="A33" s="1378"/>
      <c r="B33" s="1399" t="s">
        <v>1314</v>
      </c>
      <c r="C33" s="1384"/>
      <c r="D33" s="1385"/>
      <c r="E33" s="1400"/>
      <c r="F33" s="1321"/>
    </row>
    <row r="34" spans="1:6" ht="15.75" customHeight="1">
      <c r="A34" s="1378"/>
      <c r="B34" s="1399" t="s">
        <v>1316</v>
      </c>
      <c r="C34" s="1384"/>
      <c r="D34" s="1385"/>
      <c r="E34" s="1400"/>
      <c r="F34" s="1321"/>
    </row>
    <row r="35" spans="1:6" ht="15.75" customHeight="1">
      <c r="A35" s="1378"/>
      <c r="B35" s="1399" t="s">
        <v>1318</v>
      </c>
      <c r="C35" s="1384"/>
      <c r="D35" s="1385"/>
      <c r="E35" s="1400"/>
      <c r="F35" s="1321"/>
    </row>
    <row r="36" spans="1:6" ht="15.75" customHeight="1">
      <c r="A36" s="1378"/>
      <c r="B36" s="1399" t="s">
        <v>1320</v>
      </c>
      <c r="C36" s="1384"/>
      <c r="D36" s="1385"/>
      <c r="E36" s="1400"/>
      <c r="F36" s="1321"/>
    </row>
    <row r="37" spans="1:6" ht="15.75" customHeight="1" thickBot="1">
      <c r="A37" s="1388"/>
      <c r="B37" s="1389" t="s">
        <v>1322</v>
      </c>
      <c r="C37" s="1390"/>
      <c r="D37" s="1391"/>
      <c r="E37" s="1401"/>
      <c r="F37" s="1321"/>
    </row>
    <row r="38" spans="1:6" ht="15.75" customHeight="1" thickBot="1">
      <c r="A38" s="1648" t="s">
        <v>1415</v>
      </c>
      <c r="B38" s="1648"/>
      <c r="C38" s="1406"/>
      <c r="D38" s="1407">
        <f>SUM(D5:D8)</f>
        <v>17082661</v>
      </c>
      <c r="E38" s="1408">
        <f>E9+E14+E18+E19+E20+E21+E22</f>
        <v>0</v>
      </c>
      <c r="F38" s="1409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&amp;R13.e.számú melléklet</oddHeader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workbookViewId="0" topLeftCell="A1">
      <selection activeCell="A18" sqref="A18"/>
    </sheetView>
  </sheetViews>
  <sheetFormatPr defaultColWidth="10.7109375" defaultRowHeight="12.75"/>
  <cols>
    <col min="1" max="1" width="67.7109375" style="1410" customWidth="1"/>
    <col min="2" max="2" width="11.421875" style="1410" customWidth="1"/>
    <col min="3" max="3" width="12.7109375" style="1410" customWidth="1"/>
    <col min="4" max="4" width="15.28125" style="1410" customWidth="1"/>
    <col min="5" max="5" width="18.57421875" style="1410" customWidth="1"/>
    <col min="6" max="16384" width="10.7109375" style="1367" customWidth="1"/>
  </cols>
  <sheetData>
    <row r="1" spans="1:6" ht="48" customHeight="1">
      <c r="A1" s="1646" t="s">
        <v>1431</v>
      </c>
      <c r="B1" s="1646"/>
      <c r="C1" s="1646"/>
      <c r="D1" s="1646"/>
      <c r="E1" s="1646"/>
      <c r="F1" s="1321"/>
    </row>
    <row r="2" spans="1:6" ht="16.5" thickBot="1">
      <c r="A2" s="1368" t="s">
        <v>214</v>
      </c>
      <c r="B2" s="1347"/>
      <c r="C2" s="1347"/>
      <c r="D2" s="1647" t="s">
        <v>1393</v>
      </c>
      <c r="E2" s="1647"/>
      <c r="F2" s="1321"/>
    </row>
    <row r="3" spans="1:6" ht="54" customHeight="1" thickBot="1">
      <c r="A3" s="1369" t="s">
        <v>4</v>
      </c>
      <c r="B3" s="1370" t="s">
        <v>6</v>
      </c>
      <c r="C3" s="1371" t="s">
        <v>1394</v>
      </c>
      <c r="D3" s="1372" t="s">
        <v>1395</v>
      </c>
      <c r="E3" s="1373" t="s">
        <v>1396</v>
      </c>
      <c r="F3" s="1321"/>
    </row>
    <row r="4" spans="1:6" ht="16.5" thickBot="1">
      <c r="A4" s="1374" t="s">
        <v>687</v>
      </c>
      <c r="B4" s="1375" t="s">
        <v>15</v>
      </c>
      <c r="C4" s="1375" t="s">
        <v>688</v>
      </c>
      <c r="D4" s="1376" t="s">
        <v>689</v>
      </c>
      <c r="E4" s="1377"/>
      <c r="F4" s="1321"/>
    </row>
    <row r="5" spans="1:6" ht="15.75" customHeight="1">
      <c r="A5" s="1378" t="s">
        <v>1397</v>
      </c>
      <c r="B5" s="1379" t="s">
        <v>27</v>
      </c>
      <c r="C5" s="1380">
        <v>133</v>
      </c>
      <c r="D5" s="1381">
        <v>29016812</v>
      </c>
      <c r="E5" s="1382"/>
      <c r="F5" s="1321"/>
    </row>
    <row r="6" spans="1:6" ht="15.75" customHeight="1">
      <c r="A6" s="1378" t="s">
        <v>1398</v>
      </c>
      <c r="B6" s="1383" t="s">
        <v>28</v>
      </c>
      <c r="C6" s="1384"/>
      <c r="D6" s="1385"/>
      <c r="E6" s="1386"/>
      <c r="F6" s="1321"/>
    </row>
    <row r="7" spans="1:6" ht="15.75" customHeight="1">
      <c r="A7" s="1378" t="s">
        <v>1399</v>
      </c>
      <c r="B7" s="1387" t="s">
        <v>10</v>
      </c>
      <c r="C7" s="1384">
        <v>21</v>
      </c>
      <c r="D7" s="1385">
        <v>3633149</v>
      </c>
      <c r="E7" s="1386"/>
      <c r="F7" s="1321"/>
    </row>
    <row r="8" spans="1:6" ht="15.75" customHeight="1" thickBot="1">
      <c r="A8" s="1388" t="s">
        <v>1400</v>
      </c>
      <c r="B8" s="1389" t="s">
        <v>11</v>
      </c>
      <c r="C8" s="1390"/>
      <c r="D8" s="1391"/>
      <c r="E8" s="1392"/>
      <c r="F8" s="1321"/>
    </row>
    <row r="9" spans="1:6" ht="15.75" customHeight="1" thickBot="1">
      <c r="A9" s="1393" t="s">
        <v>1401</v>
      </c>
      <c r="B9" s="1394" t="s">
        <v>12</v>
      </c>
      <c r="C9" s="1395"/>
      <c r="D9" s="1411"/>
      <c r="E9" s="1396">
        <f>SUM(E5:E8)</f>
        <v>0</v>
      </c>
      <c r="F9" s="1321"/>
    </row>
    <row r="10" spans="1:6" ht="15.75" customHeight="1">
      <c r="A10" s="1397" t="s">
        <v>1402</v>
      </c>
      <c r="B10" s="1379" t="s">
        <v>13</v>
      </c>
      <c r="C10" s="1380"/>
      <c r="D10" s="1398"/>
      <c r="E10" s="1382"/>
      <c r="F10" s="1321"/>
    </row>
    <row r="11" spans="1:6" ht="15.75" customHeight="1">
      <c r="A11" s="1378" t="s">
        <v>1403</v>
      </c>
      <c r="B11" s="1399" t="s">
        <v>14</v>
      </c>
      <c r="C11" s="1384"/>
      <c r="D11" s="1385"/>
      <c r="E11" s="1400"/>
      <c r="F11" s="1321"/>
    </row>
    <row r="12" spans="1:6" ht="15.75" customHeight="1">
      <c r="A12" s="1378" t="s">
        <v>1404</v>
      </c>
      <c r="B12" s="1399" t="s">
        <v>57</v>
      </c>
      <c r="C12" s="1384"/>
      <c r="D12" s="1385"/>
      <c r="E12" s="1400"/>
      <c r="F12" s="1321"/>
    </row>
    <row r="13" spans="1:6" ht="15.75" customHeight="1" thickBot="1">
      <c r="A13" s="1388" t="s">
        <v>1405</v>
      </c>
      <c r="B13" s="1389" t="s">
        <v>58</v>
      </c>
      <c r="C13" s="1390"/>
      <c r="D13" s="1391"/>
      <c r="E13" s="1401"/>
      <c r="F13" s="1321"/>
    </row>
    <row r="14" spans="1:6" ht="15.75" customHeight="1" thickBot="1">
      <c r="A14" s="1393" t="s">
        <v>1406</v>
      </c>
      <c r="B14" s="1402" t="s">
        <v>405</v>
      </c>
      <c r="C14" s="1403"/>
      <c r="D14" s="1404">
        <f>+D15+D16+D17</f>
        <v>0</v>
      </c>
      <c r="E14" s="1377"/>
      <c r="F14" s="1321"/>
    </row>
    <row r="15" spans="1:6" ht="15.75" customHeight="1">
      <c r="A15" s="1397" t="s">
        <v>1407</v>
      </c>
      <c r="B15" s="1379" t="s">
        <v>407</v>
      </c>
      <c r="C15" s="1380"/>
      <c r="D15" s="1398"/>
      <c r="E15" s="1405"/>
      <c r="F15" s="1321"/>
    </row>
    <row r="16" spans="1:6" ht="15.75" customHeight="1">
      <c r="A16" s="1378" t="s">
        <v>1408</v>
      </c>
      <c r="B16" s="1399" t="s">
        <v>408</v>
      </c>
      <c r="C16" s="1384"/>
      <c r="D16" s="1385"/>
      <c r="E16" s="1400"/>
      <c r="F16" s="1321"/>
    </row>
    <row r="17" spans="1:6" ht="15.75" customHeight="1" thickBot="1">
      <c r="A17" s="1388" t="s">
        <v>1409</v>
      </c>
      <c r="B17" s="1389" t="s">
        <v>409</v>
      </c>
      <c r="C17" s="1390"/>
      <c r="D17" s="1391"/>
      <c r="E17" s="1401"/>
      <c r="F17" s="1321"/>
    </row>
    <row r="18" spans="1:6" ht="15.75" customHeight="1" thickBot="1">
      <c r="A18" s="1393" t="s">
        <v>1410</v>
      </c>
      <c r="B18" s="1402" t="s">
        <v>410</v>
      </c>
      <c r="C18" s="1403"/>
      <c r="D18" s="1404">
        <f>+D19+D20+D21</f>
        <v>0</v>
      </c>
      <c r="E18" s="1377"/>
      <c r="F18" s="1321"/>
    </row>
    <row r="19" spans="1:6" ht="15.75" customHeight="1">
      <c r="A19" s="1397" t="s">
        <v>1411</v>
      </c>
      <c r="B19" s="1379" t="s">
        <v>411</v>
      </c>
      <c r="C19" s="1380"/>
      <c r="D19" s="1398"/>
      <c r="E19" s="1405"/>
      <c r="F19" s="1321"/>
    </row>
    <row r="20" spans="1:6" ht="15.75" customHeight="1">
      <c r="A20" s="1378" t="s">
        <v>1412</v>
      </c>
      <c r="B20" s="1399" t="s">
        <v>708</v>
      </c>
      <c r="C20" s="1384"/>
      <c r="D20" s="1385"/>
      <c r="E20" s="1400"/>
      <c r="F20" s="1321"/>
    </row>
    <row r="21" spans="1:6" ht="15.75" customHeight="1">
      <c r="A21" s="1378" t="s">
        <v>1413</v>
      </c>
      <c r="B21" s="1399" t="s">
        <v>710</v>
      </c>
      <c r="C21" s="1384"/>
      <c r="D21" s="1385"/>
      <c r="E21" s="1400"/>
      <c r="F21" s="1321"/>
    </row>
    <row r="22" spans="1:6" ht="15.75" customHeight="1">
      <c r="A22" s="1378" t="s">
        <v>1414</v>
      </c>
      <c r="B22" s="1399" t="s">
        <v>712</v>
      </c>
      <c r="C22" s="1384"/>
      <c r="D22" s="1385"/>
      <c r="E22" s="1400"/>
      <c r="F22" s="1321"/>
    </row>
    <row r="23" spans="1:6" ht="15.75" customHeight="1">
      <c r="A23" s="1378"/>
      <c r="B23" s="1399" t="s">
        <v>714</v>
      </c>
      <c r="C23" s="1384"/>
      <c r="D23" s="1385"/>
      <c r="E23" s="1400"/>
      <c r="F23" s="1321"/>
    </row>
    <row r="24" spans="1:6" ht="15.75" customHeight="1">
      <c r="A24" s="1378"/>
      <c r="B24" s="1399" t="s">
        <v>715</v>
      </c>
      <c r="C24" s="1384"/>
      <c r="D24" s="1385"/>
      <c r="E24" s="1400"/>
      <c r="F24" s="1321"/>
    </row>
    <row r="25" spans="1:6" ht="15.75" customHeight="1">
      <c r="A25" s="1378"/>
      <c r="B25" s="1399" t="s">
        <v>1298</v>
      </c>
      <c r="C25" s="1384"/>
      <c r="D25" s="1385"/>
      <c r="E25" s="1400"/>
      <c r="F25" s="1321"/>
    </row>
    <row r="26" spans="1:6" ht="15.75" customHeight="1">
      <c r="A26" s="1378"/>
      <c r="B26" s="1399" t="s">
        <v>1300</v>
      </c>
      <c r="C26" s="1384"/>
      <c r="D26" s="1385"/>
      <c r="E26" s="1400"/>
      <c r="F26" s="1321"/>
    </row>
    <row r="27" spans="1:6" ht="15.75" customHeight="1">
      <c r="A27" s="1378"/>
      <c r="B27" s="1399" t="s">
        <v>1302</v>
      </c>
      <c r="C27" s="1384"/>
      <c r="D27" s="1385"/>
      <c r="E27" s="1400"/>
      <c r="F27" s="1321"/>
    </row>
    <row r="28" spans="1:6" ht="15.75" customHeight="1">
      <c r="A28" s="1378"/>
      <c r="B28" s="1399" t="s">
        <v>1304</v>
      </c>
      <c r="C28" s="1384"/>
      <c r="D28" s="1385"/>
      <c r="E28" s="1400"/>
      <c r="F28" s="1321"/>
    </row>
    <row r="29" spans="1:6" ht="15.75" customHeight="1">
      <c r="A29" s="1378"/>
      <c r="B29" s="1399" t="s">
        <v>1306</v>
      </c>
      <c r="C29" s="1384"/>
      <c r="D29" s="1385"/>
      <c r="E29" s="1400"/>
      <c r="F29" s="1321"/>
    </row>
    <row r="30" spans="1:6" ht="15.75" customHeight="1">
      <c r="A30" s="1378"/>
      <c r="B30" s="1399" t="s">
        <v>1308</v>
      </c>
      <c r="C30" s="1384"/>
      <c r="D30" s="1385"/>
      <c r="E30" s="1400"/>
      <c r="F30" s="1321"/>
    </row>
    <row r="31" spans="1:6" ht="15.75" customHeight="1">
      <c r="A31" s="1378"/>
      <c r="B31" s="1399" t="s">
        <v>1310</v>
      </c>
      <c r="C31" s="1384"/>
      <c r="D31" s="1385"/>
      <c r="E31" s="1400"/>
      <c r="F31" s="1321"/>
    </row>
    <row r="32" spans="1:6" ht="15.75" customHeight="1">
      <c r="A32" s="1378"/>
      <c r="B32" s="1399" t="s">
        <v>1312</v>
      </c>
      <c r="C32" s="1384"/>
      <c r="D32" s="1385"/>
      <c r="E32" s="1400"/>
      <c r="F32" s="1321"/>
    </row>
    <row r="33" spans="1:6" ht="15.75" customHeight="1">
      <c r="A33" s="1378"/>
      <c r="B33" s="1399" t="s">
        <v>1314</v>
      </c>
      <c r="C33" s="1384"/>
      <c r="D33" s="1385"/>
      <c r="E33" s="1400"/>
      <c r="F33" s="1321"/>
    </row>
    <row r="34" spans="1:6" ht="15.75" customHeight="1">
      <c r="A34" s="1378"/>
      <c r="B34" s="1399" t="s">
        <v>1316</v>
      </c>
      <c r="C34" s="1384"/>
      <c r="D34" s="1385"/>
      <c r="E34" s="1400"/>
      <c r="F34" s="1321"/>
    </row>
    <row r="35" spans="1:6" ht="15.75" customHeight="1">
      <c r="A35" s="1378"/>
      <c r="B35" s="1399" t="s">
        <v>1318</v>
      </c>
      <c r="C35" s="1384"/>
      <c r="D35" s="1385"/>
      <c r="E35" s="1400"/>
      <c r="F35" s="1321"/>
    </row>
    <row r="36" spans="1:6" ht="15.75" customHeight="1">
      <c r="A36" s="1378"/>
      <c r="B36" s="1399" t="s">
        <v>1320</v>
      </c>
      <c r="C36" s="1384"/>
      <c r="D36" s="1385"/>
      <c r="E36" s="1400"/>
      <c r="F36" s="1321"/>
    </row>
    <row r="37" spans="1:6" ht="15.75" customHeight="1" thickBot="1">
      <c r="A37" s="1388"/>
      <c r="B37" s="1389" t="s">
        <v>1322</v>
      </c>
      <c r="C37" s="1390"/>
      <c r="D37" s="1391"/>
      <c r="E37" s="1401"/>
      <c r="F37" s="1321"/>
    </row>
    <row r="38" spans="1:6" ht="15.75" customHeight="1" thickBot="1">
      <c r="A38" s="1648" t="s">
        <v>1415</v>
      </c>
      <c r="B38" s="1648"/>
      <c r="C38" s="1406"/>
      <c r="D38" s="1407">
        <f>SUM(D5:D8)</f>
        <v>32649961</v>
      </c>
      <c r="E38" s="1408">
        <f>E9+E14+E18+E19+E20+E21+E22</f>
        <v>0</v>
      </c>
      <c r="F38" s="1409"/>
    </row>
  </sheetData>
  <sheetProtection selectLockedCells="1" selectUnlockedCells="1"/>
  <mergeCells count="3">
    <mergeCell ref="A1:E1"/>
    <mergeCell ref="D2:E2"/>
    <mergeCell ref="A38:B3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&amp;R13.f.számú melléklet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7" sqref="D7:E7"/>
    </sheetView>
  </sheetViews>
  <sheetFormatPr defaultColWidth="9.140625" defaultRowHeight="12.75"/>
  <cols>
    <col min="1" max="1" width="9.00390625" style="719" customWidth="1"/>
    <col min="2" max="2" width="58.57421875" style="720" customWidth="1"/>
    <col min="3" max="3" width="17.00390625" style="720" customWidth="1"/>
    <col min="4" max="7" width="14.7109375" style="719" customWidth="1"/>
    <col min="8" max="9" width="9.140625" style="719" customWidth="1"/>
    <col min="10" max="16384" width="9.140625" style="719" customWidth="1"/>
  </cols>
  <sheetData>
    <row r="1" spans="5:6" ht="15">
      <c r="E1" s="1649" t="s">
        <v>644</v>
      </c>
      <c r="F1" s="1649"/>
    </row>
    <row r="2" spans="1:7" ht="48.75" customHeight="1">
      <c r="A2" s="1650" t="s">
        <v>402</v>
      </c>
      <c r="B2" s="1650"/>
      <c r="C2" s="1650"/>
      <c r="D2" s="1650"/>
      <c r="E2" s="1650"/>
      <c r="F2" s="1650"/>
      <c r="G2" s="721"/>
    </row>
    <row r="3" spans="1:8" ht="15.75" customHeight="1" thickBot="1">
      <c r="A3" s="665"/>
      <c r="B3" s="722"/>
      <c r="C3" s="722"/>
      <c r="D3" s="665"/>
      <c r="E3" s="1651" t="s">
        <v>447</v>
      </c>
      <c r="F3" s="1651"/>
      <c r="H3" s="723"/>
    </row>
    <row r="4" spans="1:7" ht="63" customHeight="1">
      <c r="A4" s="1652" t="s">
        <v>249</v>
      </c>
      <c r="B4" s="1654" t="s">
        <v>403</v>
      </c>
      <c r="C4" s="1656" t="s">
        <v>404</v>
      </c>
      <c r="D4" s="1657"/>
      <c r="E4" s="1657"/>
      <c r="F4" s="1658"/>
      <c r="G4" s="724"/>
    </row>
    <row r="5" spans="1:6" ht="16.5" thickBot="1">
      <c r="A5" s="1653"/>
      <c r="B5" s="1655"/>
      <c r="C5" s="725">
        <v>2017</v>
      </c>
      <c r="D5" s="725">
        <v>2018</v>
      </c>
      <c r="E5" s="725">
        <v>2019</v>
      </c>
      <c r="F5" s="725">
        <v>2020</v>
      </c>
    </row>
    <row r="6" spans="1:6" ht="16.5" thickBot="1">
      <c r="A6" s="726">
        <v>1</v>
      </c>
      <c r="B6" s="727">
        <v>2</v>
      </c>
      <c r="C6" s="727">
        <v>3</v>
      </c>
      <c r="D6" s="728">
        <v>4</v>
      </c>
      <c r="E6" s="728">
        <v>5</v>
      </c>
      <c r="F6" s="729">
        <v>6</v>
      </c>
    </row>
    <row r="7" spans="1:9" ht="16.5" thickBot="1">
      <c r="A7" s="730" t="s">
        <v>27</v>
      </c>
      <c r="B7" s="75" t="s">
        <v>456</v>
      </c>
      <c r="C7" s="699">
        <f>4*755935+173487</f>
        <v>3197227</v>
      </c>
      <c r="D7" s="699">
        <f>4*755935+91845</f>
        <v>3115585</v>
      </c>
      <c r="E7" s="699">
        <f>3*755935+15309</f>
        <v>2283114</v>
      </c>
      <c r="F7" s="731"/>
      <c r="I7" s="761"/>
    </row>
    <row r="8" spans="1:6" ht="27" customHeight="1" hidden="1">
      <c r="A8" s="732" t="s">
        <v>28</v>
      </c>
      <c r="B8" s="76"/>
      <c r="C8" s="76"/>
      <c r="D8" s="63"/>
      <c r="E8" s="733"/>
      <c r="F8" s="734"/>
    </row>
    <row r="9" spans="1:6" ht="27" customHeight="1" hidden="1">
      <c r="A9" s="732" t="s">
        <v>10</v>
      </c>
      <c r="B9" s="72"/>
      <c r="C9" s="72"/>
      <c r="D9" s="63"/>
      <c r="E9" s="733"/>
      <c r="F9" s="734"/>
    </row>
    <row r="10" spans="1:6" ht="27" customHeight="1" hidden="1" thickBot="1">
      <c r="A10" s="732" t="s">
        <v>11</v>
      </c>
      <c r="B10" s="71"/>
      <c r="C10" s="71"/>
      <c r="D10" s="63"/>
      <c r="E10" s="733"/>
      <c r="F10" s="734"/>
    </row>
    <row r="11" spans="1:6" ht="27" customHeight="1" hidden="1">
      <c r="A11" s="732" t="s">
        <v>12</v>
      </c>
      <c r="B11" s="72"/>
      <c r="C11" s="72"/>
      <c r="D11" s="63"/>
      <c r="E11" s="733"/>
      <c r="F11" s="734"/>
    </row>
    <row r="12" spans="1:6" ht="27" customHeight="1" hidden="1">
      <c r="A12" s="732" t="s">
        <v>13</v>
      </c>
      <c r="B12" s="71"/>
      <c r="C12" s="71"/>
      <c r="D12" s="63"/>
      <c r="E12" s="733"/>
      <c r="F12" s="734"/>
    </row>
    <row r="13" spans="1:6" ht="27" customHeight="1" hidden="1">
      <c r="A13" s="732" t="s">
        <v>14</v>
      </c>
      <c r="B13" s="71"/>
      <c r="C13" s="71"/>
      <c r="D13" s="63"/>
      <c r="E13" s="733"/>
      <c r="F13" s="734"/>
    </row>
    <row r="14" spans="1:6" ht="27" customHeight="1" hidden="1">
      <c r="A14" s="732" t="s">
        <v>57</v>
      </c>
      <c r="B14" s="71"/>
      <c r="C14" s="71"/>
      <c r="D14" s="63"/>
      <c r="E14" s="733"/>
      <c r="F14" s="734"/>
    </row>
    <row r="15" spans="1:6" ht="27" customHeight="1" hidden="1">
      <c r="A15" s="732" t="s">
        <v>58</v>
      </c>
      <c r="B15" s="71"/>
      <c r="C15" s="71"/>
      <c r="D15" s="63"/>
      <c r="E15" s="733"/>
      <c r="F15" s="734"/>
    </row>
    <row r="16" spans="1:6" ht="27" customHeight="1" hidden="1" thickBot="1">
      <c r="A16" s="732" t="s">
        <v>405</v>
      </c>
      <c r="B16" s="71"/>
      <c r="C16" s="71"/>
      <c r="D16" s="63"/>
      <c r="E16" s="733"/>
      <c r="F16" s="734"/>
    </row>
    <row r="17" spans="1:6" ht="27" customHeight="1" hidden="1">
      <c r="A17" s="735"/>
      <c r="B17" s="736"/>
      <c r="C17" s="736"/>
      <c r="D17" s="737"/>
      <c r="E17" s="737"/>
      <c r="F17" s="738"/>
    </row>
    <row r="18" spans="1:6" ht="27" customHeight="1" hidden="1">
      <c r="A18" s="735"/>
      <c r="B18" s="736"/>
      <c r="C18" s="736"/>
      <c r="D18" s="737"/>
      <c r="E18" s="737"/>
      <c r="F18" s="738"/>
    </row>
    <row r="19" spans="1:6" ht="27" customHeight="1" hidden="1">
      <c r="A19" s="735"/>
      <c r="B19" s="736"/>
      <c r="C19" s="736"/>
      <c r="D19" s="737"/>
      <c r="E19" s="737"/>
      <c r="F19" s="738"/>
    </row>
    <row r="20" spans="1:6" ht="27" customHeight="1" hidden="1">
      <c r="A20" s="735"/>
      <c r="B20" s="736"/>
      <c r="C20" s="736"/>
      <c r="D20" s="737"/>
      <c r="E20" s="737"/>
      <c r="F20" s="738"/>
    </row>
    <row r="21" spans="1:6" ht="27" customHeight="1" hidden="1">
      <c r="A21" s="735"/>
      <c r="B21" s="736"/>
      <c r="C21" s="736"/>
      <c r="D21" s="737"/>
      <c r="E21" s="737"/>
      <c r="F21" s="738"/>
    </row>
    <row r="22" spans="1:6" ht="27" customHeight="1" hidden="1">
      <c r="A22" s="735"/>
      <c r="B22" s="736"/>
      <c r="C22" s="736"/>
      <c r="D22" s="737"/>
      <c r="E22" s="737"/>
      <c r="F22" s="738"/>
    </row>
    <row r="23" spans="1:6" ht="27" customHeight="1" hidden="1">
      <c r="A23" s="735"/>
      <c r="B23" s="736"/>
      <c r="C23" s="736"/>
      <c r="D23" s="737"/>
      <c r="E23" s="737"/>
      <c r="F23" s="738"/>
    </row>
    <row r="24" spans="1:6" ht="32.25" customHeight="1" hidden="1" thickBot="1">
      <c r="A24" s="735" t="s">
        <v>12</v>
      </c>
      <c r="B24" s="736"/>
      <c r="C24" s="736"/>
      <c r="D24" s="737"/>
      <c r="E24" s="737"/>
      <c r="F24" s="738"/>
    </row>
    <row r="25" spans="1:7" ht="27" customHeight="1" thickBot="1">
      <c r="A25" s="726">
        <v>2</v>
      </c>
      <c r="B25" s="739" t="s">
        <v>406</v>
      </c>
      <c r="C25" s="740">
        <f>SUM(C7:C24)</f>
        <v>3197227</v>
      </c>
      <c r="D25" s="740">
        <f>SUM(D7:D24)</f>
        <v>3115585</v>
      </c>
      <c r="E25" s="740">
        <f>SUM(E7:E24)</f>
        <v>2283114</v>
      </c>
      <c r="F25" s="741">
        <f>SUM(F7:F24)</f>
        <v>0</v>
      </c>
      <c r="G25" s="762"/>
    </row>
    <row r="27" spans="2:3" ht="15">
      <c r="B27" s="742"/>
      <c r="C27" s="742"/>
    </row>
    <row r="28" spans="2:3" ht="15.75">
      <c r="B28" s="743"/>
      <c r="C28" s="743"/>
    </row>
    <row r="29" spans="2:3" ht="15">
      <c r="B29" s="742"/>
      <c r="C29" s="742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6" sqref="H6"/>
    </sheetView>
  </sheetViews>
  <sheetFormatPr defaultColWidth="9.140625" defaultRowHeight="12.75"/>
  <cols>
    <col min="1" max="1" width="8.140625" style="664" customWidth="1"/>
    <col min="2" max="2" width="64.00390625" style="664" customWidth="1"/>
    <col min="3" max="3" width="19.8515625" style="664" customWidth="1"/>
    <col min="4" max="5" width="16.7109375" style="664" hidden="1" customWidth="1"/>
    <col min="6" max="7" width="15.00390625" style="664" hidden="1" customWidth="1"/>
    <col min="8" max="10" width="15.00390625" style="664" customWidth="1"/>
    <col min="11" max="12" width="15.00390625" style="664" hidden="1" customWidth="1"/>
    <col min="13" max="13" width="15.00390625" style="664" customWidth="1"/>
    <col min="14" max="16384" width="9.140625" style="664" customWidth="1"/>
  </cols>
  <sheetData>
    <row r="1" spans="2:10" ht="15">
      <c r="B1" s="1659" t="s">
        <v>428</v>
      </c>
      <c r="C1" s="1659"/>
      <c r="D1" s="1659"/>
      <c r="E1" s="1659"/>
      <c r="F1" s="1659"/>
      <c r="G1" s="1659"/>
      <c r="H1" s="1659"/>
      <c r="I1" s="1659"/>
      <c r="J1" s="1659"/>
    </row>
    <row r="2" spans="1:10" ht="47.25" customHeight="1">
      <c r="A2" s="1664" t="s">
        <v>393</v>
      </c>
      <c r="B2" s="1664"/>
      <c r="C2" s="1664"/>
      <c r="D2" s="1664"/>
      <c r="E2" s="1664"/>
      <c r="F2" s="1664"/>
      <c r="G2" s="1664"/>
      <c r="H2" s="1664"/>
      <c r="I2" s="1664"/>
      <c r="J2" s="1664"/>
    </row>
    <row r="3" spans="1:10" ht="15.75" customHeight="1" thickBot="1">
      <c r="A3" s="665"/>
      <c r="B3" s="665"/>
      <c r="C3" s="1660" t="s">
        <v>447</v>
      </c>
      <c r="D3" s="1660"/>
      <c r="E3" s="1660"/>
      <c r="F3" s="1660"/>
      <c r="G3" s="1660"/>
      <c r="H3" s="1660"/>
      <c r="I3" s="1660"/>
      <c r="J3" s="1660"/>
    </row>
    <row r="4" spans="1:12" ht="44.25" customHeight="1" thickBot="1">
      <c r="A4" s="666" t="s">
        <v>249</v>
      </c>
      <c r="B4" s="667" t="s">
        <v>394</v>
      </c>
      <c r="C4" s="668" t="s">
        <v>543</v>
      </c>
      <c r="D4" s="668" t="s">
        <v>228</v>
      </c>
      <c r="E4" s="668" t="s">
        <v>231</v>
      </c>
      <c r="F4" s="668" t="s">
        <v>233</v>
      </c>
      <c r="G4" s="668" t="s">
        <v>246</v>
      </c>
      <c r="H4" s="668" t="s">
        <v>250</v>
      </c>
      <c r="I4" s="668" t="s">
        <v>236</v>
      </c>
      <c r="J4" s="668" t="s">
        <v>237</v>
      </c>
      <c r="K4" s="668" t="s">
        <v>443</v>
      </c>
      <c r="L4" s="668" t="s">
        <v>436</v>
      </c>
    </row>
    <row r="5" spans="1:12" ht="26.25" customHeight="1" thickBot="1">
      <c r="A5" s="669">
        <v>1</v>
      </c>
      <c r="B5" s="670">
        <v>2</v>
      </c>
      <c r="C5" s="671">
        <v>3</v>
      </c>
      <c r="D5" s="671">
        <v>4</v>
      </c>
      <c r="E5" s="671">
        <v>5</v>
      </c>
      <c r="F5" s="671">
        <v>6</v>
      </c>
      <c r="G5" s="671">
        <v>7</v>
      </c>
      <c r="H5" s="671">
        <v>4</v>
      </c>
      <c r="I5" s="671">
        <v>5</v>
      </c>
      <c r="J5" s="671">
        <v>6</v>
      </c>
      <c r="K5" s="671">
        <v>7</v>
      </c>
      <c r="L5" s="671">
        <v>7</v>
      </c>
    </row>
    <row r="6" spans="1:12" ht="31.5" customHeight="1">
      <c r="A6" s="672" t="s">
        <v>27</v>
      </c>
      <c r="B6" s="673" t="s">
        <v>283</v>
      </c>
      <c r="C6" s="674">
        <f>'1.sz.m-önk.össze.bev'!E8</f>
        <v>17500000</v>
      </c>
      <c r="D6" s="674">
        <f>'1.sz.m-önk.össze.bev'!F8</f>
        <v>17500000</v>
      </c>
      <c r="E6" s="674">
        <f>'1.sz.m-önk.össze.bev'!G8</f>
        <v>17500000</v>
      </c>
      <c r="F6" s="674">
        <f>'1.sz.m-önk.össze.bev'!H8</f>
        <v>17500000</v>
      </c>
      <c r="G6" s="674">
        <f>'1.sz.m-önk.össze.bev'!I8</f>
        <v>17500000</v>
      </c>
      <c r="H6" s="674">
        <f>'1.sz.m-önk.össze.bev'!J8</f>
        <v>19179992</v>
      </c>
      <c r="I6" s="674">
        <f>'1.sz.m-önk.össze.bev'!K8</f>
        <v>18784044</v>
      </c>
      <c r="J6" s="1184">
        <f>+I6/H6</f>
        <v>0.9793561957690076</v>
      </c>
      <c r="K6" s="674">
        <f>'1.sz.m-önk.össze.bev'!O8</f>
        <v>17500000</v>
      </c>
      <c r="L6" s="674">
        <f>'1.sz.m-önk.össze.bev'!P8</f>
        <v>17500000</v>
      </c>
    </row>
    <row r="7" spans="1:12" ht="26.25" customHeight="1">
      <c r="A7" s="675" t="s">
        <v>28</v>
      </c>
      <c r="B7" s="673" t="s">
        <v>395</v>
      </c>
      <c r="C7" s="676">
        <f>'1.sz.m-önk.össze.bev'!E13</f>
        <v>140000000</v>
      </c>
      <c r="D7" s="676">
        <f>'1.sz.m-önk.össze.bev'!F13</f>
        <v>140000000</v>
      </c>
      <c r="E7" s="676">
        <f>'1.sz.m-önk.össze.bev'!G13</f>
        <v>140000000</v>
      </c>
      <c r="F7" s="676">
        <f>'1.sz.m-önk.össze.bev'!H13</f>
        <v>140000000</v>
      </c>
      <c r="G7" s="676">
        <f>'1.sz.m-önk.össze.bev'!I13</f>
        <v>140000000</v>
      </c>
      <c r="H7" s="676">
        <f>'1.sz.m-önk.össze.bev'!J13</f>
        <v>152448775</v>
      </c>
      <c r="I7" s="676">
        <f>'1.sz.m-önk.össze.bev'!K13</f>
        <v>150482854</v>
      </c>
      <c r="J7" s="1185">
        <f aca="true" t="shared" si="0" ref="J7:J12">+I7/H7</f>
        <v>0.9871043830952397</v>
      </c>
      <c r="K7" s="676">
        <f>'1.sz.m-önk.össze.bev'!O13</f>
        <v>117219272</v>
      </c>
      <c r="L7" s="676">
        <f>'1.sz.m-önk.össze.bev'!P13</f>
        <v>117219269</v>
      </c>
    </row>
    <row r="8" spans="1:12" ht="33.75" customHeight="1">
      <c r="A8" s="677" t="s">
        <v>10</v>
      </c>
      <c r="B8" s="678" t="s">
        <v>396</v>
      </c>
      <c r="C8" s="679">
        <f>'1.sz.m-önk.össze.bev'!E17</f>
        <v>0</v>
      </c>
      <c r="D8" s="679">
        <f>'1.sz.m-önk.össze.bev'!F17</f>
        <v>0</v>
      </c>
      <c r="E8" s="679">
        <f>'1.sz.m-önk.össze.bev'!G17</f>
        <v>0</v>
      </c>
      <c r="F8" s="679">
        <f>'1.sz.m-önk.össze.bev'!H17</f>
        <v>0</v>
      </c>
      <c r="G8" s="679">
        <f>'1.sz.m-önk.össze.bev'!I17</f>
        <v>0</v>
      </c>
      <c r="H8" s="679">
        <f>'1.sz.m-önk.össze.bev'!J17</f>
        <v>0</v>
      </c>
      <c r="I8" s="679">
        <f>'1.sz.m-önk.össze.bev'!K17</f>
        <v>0</v>
      </c>
      <c r="J8" s="1186"/>
      <c r="K8" s="679">
        <f>'1.sz.m-önk.össze.bev'!O17</f>
        <v>0</v>
      </c>
      <c r="L8" s="679">
        <f>'1.sz.m-önk.össze.bev'!P17</f>
        <v>0</v>
      </c>
    </row>
    <row r="9" spans="1:12" ht="33" customHeight="1">
      <c r="A9" s="675" t="s">
        <v>11</v>
      </c>
      <c r="B9" s="680" t="s">
        <v>298</v>
      </c>
      <c r="C9" s="679">
        <f>'1.sz.m-önk.össze.bev'!E20</f>
        <v>1060000</v>
      </c>
      <c r="D9" s="679">
        <f>'1.sz.m-önk.össze.bev'!F20</f>
        <v>1060000</v>
      </c>
      <c r="E9" s="679">
        <f>'1.sz.m-önk.össze.bev'!G20</f>
        <v>3781890</v>
      </c>
      <c r="F9" s="679">
        <f>'1.sz.m-önk.össze.bev'!H20</f>
        <v>3781890</v>
      </c>
      <c r="G9" s="679">
        <f>'1.sz.m-önk.össze.bev'!I20</f>
        <v>4292890</v>
      </c>
      <c r="H9" s="679">
        <f>'1.sz.m-önk.össze.bev'!J20</f>
        <v>3546220</v>
      </c>
      <c r="I9" s="679">
        <f>'1.sz.m-önk.össze.bev'!K20</f>
        <v>1025093</v>
      </c>
      <c r="J9" s="1186">
        <f t="shared" si="0"/>
        <v>0.2890663861802144</v>
      </c>
      <c r="K9" s="679">
        <f>'1.sz.m-önk.össze.bev'!O20</f>
        <v>3781890</v>
      </c>
      <c r="L9" s="679">
        <f>'1.sz.m-önk.össze.bev'!P20</f>
        <v>3781890</v>
      </c>
    </row>
    <row r="10" spans="1:12" ht="26.25" customHeight="1">
      <c r="A10" s="677" t="s">
        <v>12</v>
      </c>
      <c r="B10" s="680" t="s">
        <v>397</v>
      </c>
      <c r="C10" s="681">
        <f>'1.sz.m-önk.össze.bev'!E25</f>
        <v>12033812</v>
      </c>
      <c r="D10" s="681">
        <f>'1.sz.m-önk.össze.bev'!F25</f>
        <v>12033812</v>
      </c>
      <c r="E10" s="681">
        <f>'1.sz.m-önk.össze.bev'!G25</f>
        <v>12334170</v>
      </c>
      <c r="F10" s="681">
        <f>'1.sz.m-önk.össze.bev'!H25</f>
        <v>12334170</v>
      </c>
      <c r="G10" s="681">
        <f>'1.sz.m-önk.össze.bev'!I25</f>
        <v>12734951</v>
      </c>
      <c r="H10" s="681">
        <f>'1.sz.m-önk.össze.bev'!J25</f>
        <v>13756886</v>
      </c>
      <c r="I10" s="681">
        <f>'1.sz.m-önk.össze.bev'!K25</f>
        <v>13556136</v>
      </c>
      <c r="J10" s="1187">
        <f t="shared" si="0"/>
        <v>0.9854073080201435</v>
      </c>
      <c r="K10" s="681">
        <f>'1.sz.m-önk.össze.bev'!O25</f>
        <v>12334170</v>
      </c>
      <c r="L10" s="681">
        <f>'1.sz.m-önk.össze.bev'!P25</f>
        <v>12334170</v>
      </c>
    </row>
    <row r="11" spans="1:12" ht="26.25" customHeight="1" thickBot="1">
      <c r="A11" s="677" t="s">
        <v>13</v>
      </c>
      <c r="B11" s="680" t="s">
        <v>534</v>
      </c>
      <c r="C11" s="679">
        <f>'1.sz.m-önk.össze.bev'!E55</f>
        <v>33000000</v>
      </c>
      <c r="D11" s="679">
        <f>'1.sz.m-önk.össze.bev'!F55</f>
        <v>33000000</v>
      </c>
      <c r="E11" s="679">
        <f>'1.sz.m-önk.össze.bev'!G55</f>
        <v>33080000</v>
      </c>
      <c r="F11" s="679">
        <f>'1.sz.m-önk.össze.bev'!H55</f>
        <v>33080000</v>
      </c>
      <c r="G11" s="679">
        <f>'1.sz.m-önk.össze.bev'!I55</f>
        <v>33080000</v>
      </c>
      <c r="H11" s="679">
        <f>'1.sz.m-önk.össze.bev'!J55</f>
        <v>31687000</v>
      </c>
      <c r="I11" s="679">
        <f>'1.sz.m-önk.össze.bev'!K55</f>
        <v>31687000</v>
      </c>
      <c r="J11" s="1186">
        <f t="shared" si="0"/>
        <v>1</v>
      </c>
      <c r="K11" s="679">
        <f>'1.sz.m-önk.össze.bev'!O55</f>
        <v>33080000</v>
      </c>
      <c r="L11" s="679">
        <f>'1.sz.m-önk.össze.bev'!P55</f>
        <v>33080000</v>
      </c>
    </row>
    <row r="12" spans="1:12" ht="26.25" customHeight="1" thickBot="1">
      <c r="A12" s="1661" t="s">
        <v>398</v>
      </c>
      <c r="B12" s="1662"/>
      <c r="C12" s="682">
        <f aca="true" t="shared" si="1" ref="C12:L12">SUM(C6:C11)</f>
        <v>203593812</v>
      </c>
      <c r="D12" s="682">
        <f t="shared" si="1"/>
        <v>203593812</v>
      </c>
      <c r="E12" s="682">
        <f t="shared" si="1"/>
        <v>206696060</v>
      </c>
      <c r="F12" s="682">
        <f t="shared" si="1"/>
        <v>206696060</v>
      </c>
      <c r="G12" s="682">
        <f t="shared" si="1"/>
        <v>207607841</v>
      </c>
      <c r="H12" s="682">
        <f t="shared" si="1"/>
        <v>220618873</v>
      </c>
      <c r="I12" s="682">
        <f>SUM(I6:I11)</f>
        <v>215535127</v>
      </c>
      <c r="J12" s="1188">
        <f t="shared" si="0"/>
        <v>0.9769568852797104</v>
      </c>
      <c r="K12" s="682">
        <f t="shared" si="1"/>
        <v>183915332</v>
      </c>
      <c r="L12" s="682">
        <f t="shared" si="1"/>
        <v>183915329</v>
      </c>
    </row>
    <row r="13" spans="1:5" ht="23.25" customHeight="1">
      <c r="A13" s="1663"/>
      <c r="B13" s="1663"/>
      <c r="C13" s="1663"/>
      <c r="D13" s="683"/>
      <c r="E13" s="683"/>
    </row>
  </sheetData>
  <sheetProtection/>
  <mergeCells count="5">
    <mergeCell ref="B1:J1"/>
    <mergeCell ref="C3:J3"/>
    <mergeCell ref="A12:B12"/>
    <mergeCell ref="A13:C13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9.140625" style="961" customWidth="1"/>
    <col min="2" max="2" width="19.140625" style="961" customWidth="1"/>
    <col min="3" max="3" width="14.421875" style="961" customWidth="1"/>
    <col min="4" max="4" width="13.7109375" style="961" customWidth="1"/>
    <col min="5" max="5" width="16.28125" style="961" customWidth="1"/>
    <col min="6" max="6" width="19.140625" style="961" bestFit="1" customWidth="1"/>
    <col min="7" max="16384" width="9.140625" style="961" customWidth="1"/>
  </cols>
  <sheetData>
    <row r="1" spans="1:6" ht="15">
      <c r="A1" s="1189"/>
      <c r="B1" s="1189"/>
      <c r="C1" s="1190"/>
      <c r="D1" s="1189"/>
      <c r="E1" s="1189"/>
      <c r="F1" s="1191" t="s">
        <v>412</v>
      </c>
    </row>
    <row r="2" spans="1:6" ht="15">
      <c r="A2" s="1189"/>
      <c r="B2" s="1189"/>
      <c r="C2" s="1190"/>
      <c r="D2" s="1189"/>
      <c r="E2" s="1189"/>
      <c r="F2" s="1189"/>
    </row>
    <row r="3" spans="1:6" ht="15.75">
      <c r="A3" s="1665" t="s">
        <v>645</v>
      </c>
      <c r="B3" s="1665"/>
      <c r="C3" s="1665"/>
      <c r="D3" s="1665"/>
      <c r="E3" s="1665"/>
      <c r="F3" s="1665"/>
    </row>
    <row r="4" spans="1:6" ht="15.75">
      <c r="A4" s="1665" t="s">
        <v>646</v>
      </c>
      <c r="B4" s="1665"/>
      <c r="C4" s="1665"/>
      <c r="D4" s="1665"/>
      <c r="E4" s="1665"/>
      <c r="F4" s="1665"/>
    </row>
    <row r="5" spans="1:6" ht="16.5" thickBot="1">
      <c r="A5" s="1192"/>
      <c r="B5" s="1193"/>
      <c r="C5" s="1193"/>
      <c r="D5" s="1193"/>
      <c r="E5" s="1666" t="s">
        <v>647</v>
      </c>
      <c r="F5" s="1666"/>
    </row>
    <row r="6" spans="1:6" ht="14.25" customHeight="1">
      <c r="A6" s="1667" t="s">
        <v>648</v>
      </c>
      <c r="B6" s="1669" t="s">
        <v>649</v>
      </c>
      <c r="C6" s="1671" t="s">
        <v>650</v>
      </c>
      <c r="D6" s="1194" t="s">
        <v>651</v>
      </c>
      <c r="E6" s="1195" t="s">
        <v>652</v>
      </c>
      <c r="F6" s="1673" t="s">
        <v>653</v>
      </c>
    </row>
    <row r="7" spans="1:6" ht="15" customHeight="1" thickBot="1">
      <c r="A7" s="1668"/>
      <c r="B7" s="1670"/>
      <c r="C7" s="1672"/>
      <c r="D7" s="1196" t="s">
        <v>654</v>
      </c>
      <c r="E7" s="1197" t="s">
        <v>655</v>
      </c>
      <c r="F7" s="1674"/>
    </row>
    <row r="8" spans="1:6" ht="15.75" thickBot="1">
      <c r="A8" s="1198"/>
      <c r="B8" s="1199" t="s">
        <v>656</v>
      </c>
      <c r="C8" s="1199"/>
      <c r="D8" s="1200"/>
      <c r="E8" s="1200"/>
      <c r="F8" s="1201">
        <v>0</v>
      </c>
    </row>
    <row r="9" spans="1:6" ht="30.75" thickBot="1">
      <c r="A9" s="1202">
        <v>1</v>
      </c>
      <c r="B9" s="1203" t="s">
        <v>657</v>
      </c>
      <c r="C9" s="1204"/>
      <c r="D9" s="1205"/>
      <c r="E9" s="1205"/>
      <c r="F9" s="1206">
        <v>0</v>
      </c>
    </row>
    <row r="10" spans="1:6" ht="15.75" thickBot="1">
      <c r="A10" s="1198"/>
      <c r="B10" s="1199" t="s">
        <v>658</v>
      </c>
      <c r="C10" s="1199"/>
      <c r="D10" s="1200"/>
      <c r="E10" s="1200"/>
      <c r="F10" s="1207"/>
    </row>
    <row r="11" spans="1:6" ht="60">
      <c r="A11" s="1208">
        <v>1</v>
      </c>
      <c r="B11" s="1209" t="s">
        <v>659</v>
      </c>
      <c r="C11" s="1209" t="s">
        <v>660</v>
      </c>
      <c r="D11" s="1210" t="s">
        <v>661</v>
      </c>
      <c r="E11" s="1210" t="s">
        <v>662</v>
      </c>
      <c r="F11" s="1767">
        <f>8315281-'1 .sz.m.önk.össz.kiad.'!K31</f>
        <v>5291541</v>
      </c>
    </row>
    <row r="12" spans="1:6" ht="15">
      <c r="A12" s="1212">
        <v>2</v>
      </c>
      <c r="B12" s="1209"/>
      <c r="C12" s="1209"/>
      <c r="D12" s="1210"/>
      <c r="E12" s="1210"/>
      <c r="F12" s="1211"/>
    </row>
    <row r="13" spans="1:6" ht="15">
      <c r="A13" s="1202">
        <v>3</v>
      </c>
      <c r="B13" s="1209"/>
      <c r="C13" s="1209"/>
      <c r="D13" s="1213"/>
      <c r="E13" s="1213"/>
      <c r="F13" s="1214"/>
    </row>
    <row r="14" spans="1:6" ht="15.75" thickBot="1">
      <c r="A14" s="1215">
        <v>4</v>
      </c>
      <c r="B14" s="1216"/>
      <c r="C14" s="1209"/>
      <c r="D14" s="1217"/>
      <c r="E14" s="1217"/>
      <c r="F14" s="1218"/>
    </row>
    <row r="15" spans="1:6" ht="16.5" thickBot="1">
      <c r="A15" s="1198"/>
      <c r="B15" s="1219" t="s">
        <v>663</v>
      </c>
      <c r="C15" s="1219"/>
      <c r="D15" s="1200"/>
      <c r="E15" s="1200"/>
      <c r="F15" s="1207">
        <f>SUM(F11:F14)</f>
        <v>5291541</v>
      </c>
    </row>
  </sheetData>
  <sheetProtection/>
  <mergeCells count="7">
    <mergeCell ref="A3:F3"/>
    <mergeCell ref="A4:F4"/>
    <mergeCell ref="E5:F5"/>
    <mergeCell ref="A6:A7"/>
    <mergeCell ref="B6:B7"/>
    <mergeCell ref="C6:C7"/>
    <mergeCell ref="F6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view="pageLayout" workbookViewId="0" topLeftCell="A1">
      <selection activeCell="A16" sqref="A16:B16"/>
    </sheetView>
  </sheetViews>
  <sheetFormatPr defaultColWidth="9.140625" defaultRowHeight="12.75"/>
  <cols>
    <col min="2" max="2" width="48.8515625" style="0" customWidth="1"/>
    <col min="3" max="3" width="9.8515625" style="0" hidden="1" customWidth="1"/>
    <col min="4" max="5" width="13.140625" style="0" bestFit="1" customWidth="1"/>
    <col min="6" max="6" width="16.00390625" style="0" bestFit="1" customWidth="1"/>
    <col min="7" max="7" width="13.140625" style="0" bestFit="1" customWidth="1"/>
  </cols>
  <sheetData>
    <row r="1" spans="1:7" ht="18.75">
      <c r="A1" s="1664" t="s">
        <v>717</v>
      </c>
      <c r="B1" s="1664"/>
      <c r="C1" s="1664"/>
      <c r="D1" s="1664"/>
      <c r="E1" s="1664"/>
      <c r="F1" s="1664"/>
      <c r="G1" s="1664"/>
    </row>
    <row r="2" spans="1:7" ht="18.75">
      <c r="A2" s="1664" t="s">
        <v>718</v>
      </c>
      <c r="B2" s="1664"/>
      <c r="C2" s="1664"/>
      <c r="D2" s="1664"/>
      <c r="E2" s="1664"/>
      <c r="F2" s="1664"/>
      <c r="G2" s="1664"/>
    </row>
    <row r="3" spans="1:7" ht="15" thickBot="1">
      <c r="A3" s="665"/>
      <c r="B3" s="665"/>
      <c r="C3" s="1660" t="s">
        <v>447</v>
      </c>
      <c r="D3" s="1660"/>
      <c r="E3" s="1660"/>
      <c r="F3" s="1660"/>
      <c r="G3" s="1660"/>
    </row>
    <row r="4" spans="1:7" ht="16.5" thickBot="1">
      <c r="A4" s="1675" t="s">
        <v>394</v>
      </c>
      <c r="B4" s="1676"/>
      <c r="C4" s="668">
        <v>2016</v>
      </c>
      <c r="D4" s="668">
        <v>2017</v>
      </c>
      <c r="E4" s="668">
        <v>2018</v>
      </c>
      <c r="F4" s="668">
        <v>2019</v>
      </c>
      <c r="G4" s="668">
        <v>2020</v>
      </c>
    </row>
    <row r="5" spans="1:7" ht="16.5" hidden="1" thickBot="1">
      <c r="A5" s="669">
        <v>1</v>
      </c>
      <c r="B5" s="670">
        <v>2</v>
      </c>
      <c r="C5" s="671">
        <v>3</v>
      </c>
      <c r="D5" s="671">
        <v>4</v>
      </c>
      <c r="E5" s="671">
        <v>5</v>
      </c>
      <c r="F5" s="671">
        <v>6</v>
      </c>
      <c r="G5" s="671"/>
    </row>
    <row r="6" spans="1:7" ht="15.75">
      <c r="A6" s="1677" t="s">
        <v>283</v>
      </c>
      <c r="B6" s="1678"/>
      <c r="C6" s="674"/>
      <c r="D6" s="674">
        <f>+'1.sz.m-önk.össze.bev'!K8</f>
        <v>18784044</v>
      </c>
      <c r="E6" s="674">
        <v>18780000</v>
      </c>
      <c r="F6" s="674">
        <v>18780000</v>
      </c>
      <c r="G6" s="674">
        <v>18780000</v>
      </c>
    </row>
    <row r="7" spans="1:7" ht="15.75">
      <c r="A7" s="1679" t="s">
        <v>395</v>
      </c>
      <c r="B7" s="1680"/>
      <c r="C7" s="676"/>
      <c r="D7" s="676">
        <f>+'1.sz.m-önk.össze.bev'!K13</f>
        <v>150482854</v>
      </c>
      <c r="E7" s="676">
        <v>150000000</v>
      </c>
      <c r="F7" s="676">
        <v>150000000</v>
      </c>
      <c r="G7" s="676">
        <v>150000000</v>
      </c>
    </row>
    <row r="8" spans="1:7" ht="15.75">
      <c r="A8" s="1681" t="s">
        <v>719</v>
      </c>
      <c r="B8" s="1682"/>
      <c r="C8" s="679"/>
      <c r="D8" s="679">
        <f>+'1.sz.m-önk.össze.bev'!K55</f>
        <v>31687000</v>
      </c>
      <c r="E8" s="679">
        <v>25000000</v>
      </c>
      <c r="F8" s="679"/>
      <c r="G8" s="679"/>
    </row>
    <row r="9" spans="1:7" ht="15.75">
      <c r="A9" s="1681" t="s">
        <v>298</v>
      </c>
      <c r="B9" s="1682"/>
      <c r="C9" s="679"/>
      <c r="D9" s="679">
        <f>+'1.sz.m-önk.össze.bev'!K20</f>
        <v>1025093</v>
      </c>
      <c r="E9" s="679">
        <v>1060000</v>
      </c>
      <c r="F9" s="679">
        <v>1060000</v>
      </c>
      <c r="G9" s="679">
        <v>1060000</v>
      </c>
    </row>
    <row r="10" spans="1:7" ht="16.5" thickBot="1">
      <c r="A10" s="1681" t="s">
        <v>397</v>
      </c>
      <c r="B10" s="1682"/>
      <c r="C10" s="681"/>
      <c r="D10" s="681">
        <f>+'1.sz.m-önk.össze.bev'!K25</f>
        <v>13556136</v>
      </c>
      <c r="E10" s="681">
        <v>3229466</v>
      </c>
      <c r="F10" s="681">
        <v>3229466</v>
      </c>
      <c r="G10" s="681">
        <v>3229466</v>
      </c>
    </row>
    <row r="11" spans="1:7" ht="16.5" hidden="1" thickBot="1">
      <c r="A11" s="677" t="s">
        <v>13</v>
      </c>
      <c r="B11" s="1304" t="s">
        <v>720</v>
      </c>
      <c r="C11" s="679"/>
      <c r="D11" s="679"/>
      <c r="E11" s="679"/>
      <c r="F11" s="679" t="e">
        <f>E11/C11</f>
        <v>#DIV/0!</v>
      </c>
      <c r="G11" s="679"/>
    </row>
    <row r="12" spans="1:7" ht="16.5" thickBot="1">
      <c r="A12" s="1661" t="s">
        <v>398</v>
      </c>
      <c r="B12" s="1662"/>
      <c r="C12" s="682">
        <f>SUM(C6:C11)</f>
        <v>0</v>
      </c>
      <c r="D12" s="682">
        <f>SUM(D6:D11)</f>
        <v>215535127</v>
      </c>
      <c r="E12" s="682">
        <f>SUM(E6:E11)</f>
        <v>198069466</v>
      </c>
      <c r="F12" s="682">
        <f>SUM(F6:F10)</f>
        <v>173069466</v>
      </c>
      <c r="G12" s="682">
        <f>SUM(G6:G11)</f>
        <v>173069466</v>
      </c>
    </row>
    <row r="13" spans="1:7" ht="16.5" thickBot="1">
      <c r="A13" s="1661" t="s">
        <v>721</v>
      </c>
      <c r="B13" s="1662"/>
      <c r="C13" s="682">
        <f>C12/2</f>
        <v>0</v>
      </c>
      <c r="D13" s="682">
        <f>D12/2</f>
        <v>107767563.5</v>
      </c>
      <c r="E13" s="682">
        <f>E12/2</f>
        <v>99034733</v>
      </c>
      <c r="F13" s="682">
        <f>F12/2</f>
        <v>86534733</v>
      </c>
      <c r="G13" s="682">
        <f>G12/2</f>
        <v>86534733</v>
      </c>
    </row>
    <row r="14" spans="1:7" ht="16.5" thickBot="1">
      <c r="A14" s="1661" t="s">
        <v>722</v>
      </c>
      <c r="B14" s="1662"/>
      <c r="C14" s="682">
        <v>0</v>
      </c>
      <c r="D14" s="682"/>
      <c r="E14" s="682">
        <v>0</v>
      </c>
      <c r="F14" s="682">
        <v>0</v>
      </c>
      <c r="G14" s="682">
        <v>0</v>
      </c>
    </row>
    <row r="15" spans="1:7" ht="16.5" thickBot="1">
      <c r="A15" s="1683" t="s">
        <v>1439</v>
      </c>
      <c r="B15" s="1684"/>
      <c r="C15" s="1305">
        <v>0</v>
      </c>
      <c r="D15" s="1305"/>
      <c r="E15" s="1305">
        <v>0</v>
      </c>
      <c r="F15" s="1305">
        <v>0</v>
      </c>
      <c r="G15" s="1305">
        <v>0</v>
      </c>
    </row>
    <row r="16" spans="1:7" ht="16.5" thickBot="1">
      <c r="A16" s="1661" t="s">
        <v>723</v>
      </c>
      <c r="B16" s="1662"/>
      <c r="C16" s="682">
        <v>0</v>
      </c>
      <c r="D16" s="682"/>
      <c r="E16" s="682">
        <v>0</v>
      </c>
      <c r="F16" s="682">
        <v>0</v>
      </c>
      <c r="G16" s="682">
        <v>0</v>
      </c>
    </row>
    <row r="17" spans="1:7" ht="16.5" thickBot="1">
      <c r="A17" s="1685"/>
      <c r="B17" s="1686"/>
      <c r="C17" s="1686"/>
      <c r="D17" s="1686"/>
      <c r="E17" s="1686"/>
      <c r="F17" s="1686"/>
      <c r="G17" s="1687"/>
    </row>
    <row r="18" spans="1:7" ht="16.5" thickBot="1">
      <c r="A18" s="1661" t="s">
        <v>1440</v>
      </c>
      <c r="B18" s="1662"/>
      <c r="C18" s="682"/>
      <c r="D18" s="682"/>
      <c r="E18" s="682"/>
      <c r="F18" s="682"/>
      <c r="G18" s="682"/>
    </row>
    <row r="19" spans="1:7" ht="16.5" thickBot="1">
      <c r="A19" s="1683" t="s">
        <v>724</v>
      </c>
      <c r="B19" s="1684"/>
      <c r="C19" s="1305"/>
      <c r="D19" s="1305">
        <v>0</v>
      </c>
      <c r="E19" s="1305">
        <v>0</v>
      </c>
      <c r="F19" s="1305">
        <v>0</v>
      </c>
      <c r="G19" s="1305">
        <v>0</v>
      </c>
    </row>
    <row r="20" spans="1:7" ht="16.5" thickBot="1">
      <c r="A20" s="1661" t="s">
        <v>725</v>
      </c>
      <c r="B20" s="1662"/>
      <c r="C20" s="682"/>
      <c r="D20" s="682">
        <v>0</v>
      </c>
      <c r="E20" s="682">
        <v>0</v>
      </c>
      <c r="F20" s="682">
        <v>0</v>
      </c>
      <c r="G20" s="682">
        <v>0</v>
      </c>
    </row>
    <row r="21" spans="1:7" ht="16.5" thickBot="1">
      <c r="A21" s="1661"/>
      <c r="B21" s="1662"/>
      <c r="C21" s="682"/>
      <c r="D21" s="682"/>
      <c r="E21" s="682"/>
      <c r="F21" s="682"/>
      <c r="G21" s="682"/>
    </row>
    <row r="22" spans="1:7" ht="16.5" thickBot="1">
      <c r="A22" s="1661" t="s">
        <v>1438</v>
      </c>
      <c r="B22" s="1662"/>
      <c r="C22" s="682"/>
      <c r="D22" s="682"/>
      <c r="E22" s="682"/>
      <c r="F22" s="682"/>
      <c r="G22" s="682"/>
    </row>
    <row r="23" spans="1:7" ht="16.5" thickBot="1">
      <c r="A23" s="1683" t="s">
        <v>726</v>
      </c>
      <c r="B23" s="1684"/>
      <c r="C23" s="682">
        <v>0</v>
      </c>
      <c r="D23" s="682">
        <f>755935*4</f>
        <v>3023740</v>
      </c>
      <c r="E23" s="682">
        <f>755935*4</f>
        <v>3023740</v>
      </c>
      <c r="F23" s="682">
        <f>3*755935</f>
        <v>2267805</v>
      </c>
      <c r="G23" s="682">
        <v>0</v>
      </c>
    </row>
    <row r="24" spans="1:7" ht="16.5" thickBot="1">
      <c r="A24" s="1683" t="s">
        <v>727</v>
      </c>
      <c r="B24" s="1684"/>
      <c r="C24" s="682"/>
      <c r="D24" s="682">
        <v>173487</v>
      </c>
      <c r="E24" s="682">
        <f>3115585-3023740</f>
        <v>91845</v>
      </c>
      <c r="F24" s="682">
        <f>1527179-1511870</f>
        <v>15309</v>
      </c>
      <c r="G24" s="682">
        <v>0</v>
      </c>
    </row>
    <row r="25" spans="1:7" ht="16.5" thickBot="1">
      <c r="A25" s="1683" t="s">
        <v>728</v>
      </c>
      <c r="B25" s="1684"/>
      <c r="C25" s="682"/>
      <c r="D25" s="682"/>
      <c r="E25" s="682"/>
      <c r="F25" s="682"/>
      <c r="G25" s="682"/>
    </row>
    <row r="26" spans="1:7" ht="16.5" thickBot="1">
      <c r="A26" s="1661" t="s">
        <v>1437</v>
      </c>
      <c r="B26" s="1662"/>
      <c r="C26" s="682">
        <f>SUM(C23:C25)</f>
        <v>0</v>
      </c>
      <c r="D26" s="682">
        <f>SUM(D23:D25)</f>
        <v>3197227</v>
      </c>
      <c r="E26" s="682">
        <f>SUM(E23:E25)</f>
        <v>3115585</v>
      </c>
      <c r="F26" s="682">
        <f>SUM(F23:F25)</f>
        <v>2283114</v>
      </c>
      <c r="G26" s="682">
        <f>SUM(G23:G25)</f>
        <v>0</v>
      </c>
    </row>
    <row r="27" spans="1:7" ht="16.5" thickBot="1">
      <c r="A27" s="1685"/>
      <c r="B27" s="1688"/>
      <c r="C27" s="682"/>
      <c r="D27" s="682"/>
      <c r="E27" s="682"/>
      <c r="F27" s="682"/>
      <c r="G27" s="682"/>
    </row>
    <row r="28" spans="1:7" ht="16.5" thickBot="1">
      <c r="A28" s="1661" t="s">
        <v>1436</v>
      </c>
      <c r="B28" s="1662"/>
      <c r="C28" s="682"/>
      <c r="D28" s="682"/>
      <c r="E28" s="682"/>
      <c r="F28" s="682"/>
      <c r="G28" s="682"/>
    </row>
    <row r="29" spans="1:7" ht="16.5" thickBot="1">
      <c r="A29" s="1683" t="s">
        <v>729</v>
      </c>
      <c r="B29" s="1684"/>
      <c r="C29" s="682">
        <v>0</v>
      </c>
      <c r="D29" s="682"/>
      <c r="E29" s="682"/>
      <c r="F29" s="682"/>
      <c r="G29" s="682"/>
    </row>
    <row r="30" spans="1:7" ht="16.5" thickBot="1">
      <c r="A30" s="1683" t="s">
        <v>730</v>
      </c>
      <c r="B30" s="1684"/>
      <c r="C30" s="682"/>
      <c r="D30" s="682"/>
      <c r="E30" s="682"/>
      <c r="F30" s="682"/>
      <c r="G30" s="682"/>
    </row>
    <row r="31" spans="1:7" ht="16.5" thickBot="1">
      <c r="A31" s="1683" t="s">
        <v>728</v>
      </c>
      <c r="B31" s="1684"/>
      <c r="C31" s="682"/>
      <c r="D31" s="682"/>
      <c r="E31" s="682"/>
      <c r="F31" s="682"/>
      <c r="G31" s="682"/>
    </row>
    <row r="32" spans="1:7" ht="16.5" thickBot="1">
      <c r="A32" s="1661" t="s">
        <v>731</v>
      </c>
      <c r="B32" s="1662"/>
      <c r="C32" s="682">
        <f>SUM(C29:C31)</f>
        <v>0</v>
      </c>
      <c r="D32" s="682">
        <f>SUM(D29:D31)</f>
        <v>0</v>
      </c>
      <c r="E32" s="682">
        <f>SUM(E29:E31)</f>
        <v>0</v>
      </c>
      <c r="F32" s="682">
        <f>SUM(F29:F31)</f>
        <v>0</v>
      </c>
      <c r="G32" s="682">
        <f>SUM(G29:G31)</f>
        <v>0</v>
      </c>
    </row>
    <row r="33" spans="1:7" ht="16.5" thickBot="1">
      <c r="A33" s="1661" t="s">
        <v>732</v>
      </c>
      <c r="B33" s="1662"/>
      <c r="C33" s="682">
        <f>C13-C32</f>
        <v>0</v>
      </c>
      <c r="D33" s="682">
        <f>D13-D32-D26</f>
        <v>104570336.5</v>
      </c>
      <c r="E33" s="682">
        <f>E13-E32-E26</f>
        <v>95919148</v>
      </c>
      <c r="F33" s="682">
        <f>F13-F32-F26</f>
        <v>84251619</v>
      </c>
      <c r="G33" s="682">
        <f>G13-G32-G26</f>
        <v>86534733</v>
      </c>
    </row>
  </sheetData>
  <sheetProtection/>
  <mergeCells count="31">
    <mergeCell ref="A33:B33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G17"/>
    <mergeCell ref="A18:B18"/>
    <mergeCell ref="A19:B19"/>
    <mergeCell ref="A20:B20"/>
    <mergeCell ref="A8:B8"/>
    <mergeCell ref="A9:B9"/>
    <mergeCell ref="A10:B10"/>
    <mergeCell ref="A12:B12"/>
    <mergeCell ref="A13:B13"/>
    <mergeCell ref="A14:B14"/>
    <mergeCell ref="A1:G1"/>
    <mergeCell ref="A2:G2"/>
    <mergeCell ref="C3:G3"/>
    <mergeCell ref="A4:B4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  <headerFooter>
    <oddHeader>&amp;R17.számú melléklet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78.57421875" style="536" customWidth="1"/>
    <col min="2" max="2" width="15.7109375" style="536" customWidth="1"/>
    <col min="3" max="3" width="13.140625" style="536" hidden="1" customWidth="1"/>
    <col min="4" max="4" width="13.28125" style="536" hidden="1" customWidth="1"/>
    <col min="5" max="5" width="14.7109375" style="536" hidden="1" customWidth="1"/>
    <col min="6" max="6" width="15.57421875" style="536" hidden="1" customWidth="1"/>
    <col min="7" max="7" width="16.00390625" style="536" customWidth="1"/>
    <col min="8" max="8" width="12.421875" style="536" bestFit="1" customWidth="1"/>
    <col min="9" max="9" width="16.28125" style="536" bestFit="1" customWidth="1"/>
    <col min="10" max="10" width="12.421875" style="536" bestFit="1" customWidth="1"/>
    <col min="11" max="11" width="16.140625" style="536" bestFit="1" customWidth="1"/>
    <col min="12" max="12" width="9.140625" style="536" hidden="1" customWidth="1"/>
    <col min="13" max="13" width="9.8515625" style="536" bestFit="1" customWidth="1"/>
    <col min="14" max="16384" width="9.140625" style="536" customWidth="1"/>
  </cols>
  <sheetData>
    <row r="1" spans="1:11" ht="21" customHeight="1">
      <c r="A1" s="1699" t="s">
        <v>664</v>
      </c>
      <c r="B1" s="1699"/>
      <c r="C1" s="1699"/>
      <c r="D1" s="1699"/>
      <c r="E1" s="1699"/>
      <c r="F1" s="1699"/>
      <c r="G1" s="1699"/>
      <c r="H1" s="1699"/>
      <c r="I1" s="1699"/>
      <c r="J1" s="1699"/>
      <c r="K1" s="1699"/>
    </row>
    <row r="2" spans="1:11" s="537" customFormat="1" ht="51.75" customHeight="1">
      <c r="A2" s="1698" t="s">
        <v>622</v>
      </c>
      <c r="B2" s="1698"/>
      <c r="C2" s="1698"/>
      <c r="D2" s="1698"/>
      <c r="E2" s="1698"/>
      <c r="F2" s="1698"/>
      <c r="G2" s="1698"/>
      <c r="H2" s="1698"/>
      <c r="I2" s="1698"/>
      <c r="J2" s="1698"/>
      <c r="K2" s="1698"/>
    </row>
    <row r="3" spans="1:11" ht="15.75" customHeight="1" thickBot="1">
      <c r="A3" s="538"/>
      <c r="B3" s="1697" t="s">
        <v>449</v>
      </c>
      <c r="C3" s="1697"/>
      <c r="D3" s="1697"/>
      <c r="E3" s="1697"/>
      <c r="F3" s="1697"/>
      <c r="G3" s="1697"/>
      <c r="H3" s="1697"/>
      <c r="I3" s="1697"/>
      <c r="J3" s="1697"/>
      <c r="K3" s="1697"/>
    </row>
    <row r="4" spans="1:12" s="540" customFormat="1" ht="24" customHeight="1" thickBot="1">
      <c r="A4" s="539" t="s">
        <v>251</v>
      </c>
      <c r="B4" s="558" t="s">
        <v>252</v>
      </c>
      <c r="C4" s="558" t="s">
        <v>227</v>
      </c>
      <c r="D4" s="558" t="s">
        <v>232</v>
      </c>
      <c r="E4" s="558" t="s">
        <v>234</v>
      </c>
      <c r="F4" s="558" t="s">
        <v>439</v>
      </c>
      <c r="G4" s="558" t="s">
        <v>443</v>
      </c>
      <c r="H4" s="558" t="s">
        <v>635</v>
      </c>
      <c r="I4" s="558" t="s">
        <v>636</v>
      </c>
      <c r="J4" s="558" t="s">
        <v>637</v>
      </c>
      <c r="K4" s="558" t="s">
        <v>638</v>
      </c>
      <c r="L4" s="558" t="s">
        <v>436</v>
      </c>
    </row>
    <row r="5" spans="1:12" s="542" customFormat="1" ht="21" customHeight="1">
      <c r="A5" s="541" t="s">
        <v>1432</v>
      </c>
      <c r="B5" s="559">
        <v>69459609</v>
      </c>
      <c r="C5" s="559">
        <v>69459609</v>
      </c>
      <c r="D5" s="559">
        <v>69459609</v>
      </c>
      <c r="E5" s="559">
        <v>69459609</v>
      </c>
      <c r="F5" s="559">
        <v>69459609</v>
      </c>
      <c r="G5" s="559">
        <v>69459609</v>
      </c>
      <c r="H5" s="559">
        <v>69459609</v>
      </c>
      <c r="I5" s="559">
        <v>69459609</v>
      </c>
      <c r="J5" s="559">
        <v>69459609</v>
      </c>
      <c r="K5" s="559"/>
      <c r="L5" s="773">
        <f>H5/G5</f>
        <v>1</v>
      </c>
    </row>
    <row r="6" spans="1:12" s="542" customFormat="1" ht="21" customHeight="1">
      <c r="A6" s="543" t="s">
        <v>253</v>
      </c>
      <c r="B6" s="560">
        <v>0</v>
      </c>
      <c r="C6" s="560">
        <v>0</v>
      </c>
      <c r="D6" s="560">
        <v>0</v>
      </c>
      <c r="E6" s="560">
        <v>0</v>
      </c>
      <c r="F6" s="560">
        <v>0</v>
      </c>
      <c r="G6" s="560">
        <v>0</v>
      </c>
      <c r="H6" s="560">
        <v>0</v>
      </c>
      <c r="I6" s="560">
        <v>0</v>
      </c>
      <c r="J6" s="560">
        <v>0</v>
      </c>
      <c r="K6" s="560">
        <v>0</v>
      </c>
      <c r="L6" s="1689"/>
    </row>
    <row r="7" spans="1:12" s="542" customFormat="1" ht="21" customHeight="1">
      <c r="A7" s="543" t="s">
        <v>254</v>
      </c>
      <c r="B7" s="560">
        <v>0</v>
      </c>
      <c r="C7" s="560">
        <v>0</v>
      </c>
      <c r="D7" s="560">
        <v>0</v>
      </c>
      <c r="E7" s="560">
        <v>0</v>
      </c>
      <c r="F7" s="560">
        <v>0</v>
      </c>
      <c r="G7" s="560">
        <v>0</v>
      </c>
      <c r="H7" s="560">
        <v>0</v>
      </c>
      <c r="I7" s="560">
        <v>0</v>
      </c>
      <c r="J7" s="560">
        <v>0</v>
      </c>
      <c r="K7" s="560">
        <v>0</v>
      </c>
      <c r="L7" s="1690"/>
    </row>
    <row r="8" spans="1:12" s="542" customFormat="1" ht="21" customHeight="1">
      <c r="A8" s="543" t="s">
        <v>255</v>
      </c>
      <c r="B8" s="560">
        <v>0</v>
      </c>
      <c r="C8" s="560">
        <v>0</v>
      </c>
      <c r="D8" s="560">
        <v>0</v>
      </c>
      <c r="E8" s="560">
        <v>0</v>
      </c>
      <c r="F8" s="560">
        <v>0</v>
      </c>
      <c r="G8" s="560">
        <v>0</v>
      </c>
      <c r="H8" s="560">
        <v>0</v>
      </c>
      <c r="I8" s="560">
        <v>0</v>
      </c>
      <c r="J8" s="560">
        <v>0</v>
      </c>
      <c r="K8" s="560">
        <v>0</v>
      </c>
      <c r="L8" s="1690"/>
    </row>
    <row r="9" spans="1:12" s="542" customFormat="1" ht="21" customHeight="1">
      <c r="A9" s="544" t="s">
        <v>256</v>
      </c>
      <c r="B9" s="560">
        <v>0</v>
      </c>
      <c r="C9" s="560">
        <v>0</v>
      </c>
      <c r="D9" s="560">
        <v>0</v>
      </c>
      <c r="E9" s="560">
        <v>0</v>
      </c>
      <c r="F9" s="560">
        <v>0</v>
      </c>
      <c r="G9" s="560">
        <v>0</v>
      </c>
      <c r="H9" s="560">
        <v>0</v>
      </c>
      <c r="I9" s="560">
        <v>0</v>
      </c>
      <c r="J9" s="560">
        <v>0</v>
      </c>
      <c r="K9" s="560">
        <v>0</v>
      </c>
      <c r="L9" s="1690"/>
    </row>
    <row r="10" spans="1:12" s="542" customFormat="1" ht="21" customHeight="1">
      <c r="A10" s="541" t="s">
        <v>257</v>
      </c>
      <c r="B10" s="561">
        <f>SUM(B6:B9)</f>
        <v>0</v>
      </c>
      <c r="C10" s="561">
        <f>SUM(C6:C9)</f>
        <v>0</v>
      </c>
      <c r="D10" s="561">
        <f>SUM(D6:D9)</f>
        <v>0</v>
      </c>
      <c r="E10" s="561">
        <f>SUM(E6:E9)</f>
        <v>0</v>
      </c>
      <c r="F10" s="561">
        <f aca="true" t="shared" si="0" ref="F10:K10">SUM(F6:F9)</f>
        <v>0</v>
      </c>
      <c r="G10" s="561">
        <f t="shared" si="0"/>
        <v>0</v>
      </c>
      <c r="H10" s="561">
        <f t="shared" si="0"/>
        <v>0</v>
      </c>
      <c r="I10" s="561">
        <f t="shared" si="0"/>
        <v>0</v>
      </c>
      <c r="J10" s="561">
        <f t="shared" si="0"/>
        <v>0</v>
      </c>
      <c r="K10" s="561">
        <f t="shared" si="0"/>
        <v>0</v>
      </c>
      <c r="L10" s="1690"/>
    </row>
    <row r="11" spans="1:12" s="542" customFormat="1" ht="21" customHeight="1" hidden="1">
      <c r="A11" s="545" t="s">
        <v>258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1690"/>
    </row>
    <row r="12" spans="1:12" s="542" customFormat="1" ht="21" customHeight="1">
      <c r="A12" s="541" t="s">
        <v>340</v>
      </c>
      <c r="B12" s="561">
        <v>0</v>
      </c>
      <c r="C12" s="561">
        <v>0</v>
      </c>
      <c r="D12" s="561">
        <v>0</v>
      </c>
      <c r="E12" s="561">
        <v>0</v>
      </c>
      <c r="F12" s="561">
        <v>0</v>
      </c>
      <c r="G12" s="561">
        <v>0</v>
      </c>
      <c r="H12" s="561">
        <v>0</v>
      </c>
      <c r="I12" s="561">
        <v>0</v>
      </c>
      <c r="J12" s="561">
        <v>0</v>
      </c>
      <c r="K12" s="561">
        <v>0</v>
      </c>
      <c r="L12" s="1690"/>
    </row>
    <row r="13" spans="1:12" s="542" customFormat="1" ht="21" customHeight="1" hidden="1" thickBot="1">
      <c r="A13" s="541" t="s">
        <v>262</v>
      </c>
      <c r="B13" s="590">
        <v>0</v>
      </c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590">
        <v>0</v>
      </c>
      <c r="I13" s="590">
        <v>0</v>
      </c>
      <c r="J13" s="590">
        <v>0</v>
      </c>
      <c r="K13" s="590">
        <v>0</v>
      </c>
      <c r="L13" s="1691"/>
    </row>
    <row r="14" spans="1:12" s="542" customFormat="1" ht="21" customHeight="1" thickBot="1">
      <c r="A14" s="796" t="s">
        <v>431</v>
      </c>
      <c r="B14" s="765">
        <v>569468</v>
      </c>
      <c r="C14" s="765">
        <v>569468</v>
      </c>
      <c r="D14" s="765">
        <v>569468</v>
      </c>
      <c r="E14" s="765">
        <v>569468</v>
      </c>
      <c r="F14" s="765">
        <v>569468</v>
      </c>
      <c r="G14" s="765">
        <v>569468</v>
      </c>
      <c r="H14" s="765">
        <v>569468</v>
      </c>
      <c r="I14" s="765">
        <v>569468</v>
      </c>
      <c r="J14" s="765">
        <v>569468</v>
      </c>
      <c r="K14" s="765"/>
      <c r="L14" s="774">
        <f>H14/G14</f>
        <v>1</v>
      </c>
    </row>
    <row r="15" spans="1:12" s="548" customFormat="1" ht="24.75" customHeight="1" thickBot="1">
      <c r="A15" s="547" t="s">
        <v>339</v>
      </c>
      <c r="B15" s="562">
        <f>B5+B10-B11+B12+B13+B14</f>
        <v>70029077</v>
      </c>
      <c r="C15" s="562">
        <f>C5+C10-C11+C12+C13+C14</f>
        <v>70029077</v>
      </c>
      <c r="D15" s="562">
        <f>D5+D10-D11+D12+D13+D14</f>
        <v>70029077</v>
      </c>
      <c r="E15" s="562">
        <f>E5+E10-E11+E12+E13+E14</f>
        <v>70029077</v>
      </c>
      <c r="F15" s="562">
        <f aca="true" t="shared" si="1" ref="F15:K15">F5+F10-F11+F12+F13+F14</f>
        <v>70029077</v>
      </c>
      <c r="G15" s="562">
        <f t="shared" si="1"/>
        <v>70029077</v>
      </c>
      <c r="H15" s="562">
        <f t="shared" si="1"/>
        <v>70029077</v>
      </c>
      <c r="I15" s="562">
        <f t="shared" si="1"/>
        <v>70029077</v>
      </c>
      <c r="J15" s="562">
        <f t="shared" si="1"/>
        <v>70029077</v>
      </c>
      <c r="K15" s="562">
        <f t="shared" si="1"/>
        <v>0</v>
      </c>
      <c r="L15" s="775">
        <f>H15/G15</f>
        <v>1</v>
      </c>
    </row>
    <row r="16" spans="1:12" ht="24.75" customHeight="1">
      <c r="A16" s="549" t="s">
        <v>259</v>
      </c>
      <c r="B16" s="559">
        <f>18177593+4800000+8939800+2400000+229200+418900</f>
        <v>34965493</v>
      </c>
      <c r="C16" s="559">
        <f>18177593+4800000+8939800+2400000+229200+418900</f>
        <v>34965493</v>
      </c>
      <c r="D16" s="559">
        <f>18177593+4800000+8939800+2400000+229200+418900</f>
        <v>34965493</v>
      </c>
      <c r="E16" s="559">
        <f>18177593+4800000+8939800+2400000+229200+418900+800727</f>
        <v>35766220</v>
      </c>
      <c r="F16" s="559">
        <f>18177593+4800000+8939800+2400000+229200+418900+800727+767984-297993+133454</f>
        <v>36369665</v>
      </c>
      <c r="G16" s="559">
        <f>17879600+4800000+9237793+2400000+236840+1186884+1468000</f>
        <v>37209117</v>
      </c>
      <c r="H16" s="559">
        <f>17879600+4800000+9237793+2400000+236840+1186884+1468000</f>
        <v>37209117</v>
      </c>
      <c r="I16" s="559">
        <f>17879600+4800000+9237793+2400000+236840+1186884+1468000+148997+3820</f>
        <v>37361934</v>
      </c>
      <c r="J16" s="559">
        <f>17879600+4800000+9237793+2400000+236840+1186884+1468000+148997+3820</f>
        <v>37361934</v>
      </c>
      <c r="K16" s="559">
        <f>+I16-H16</f>
        <v>152817</v>
      </c>
      <c r="L16" s="1692"/>
    </row>
    <row r="17" spans="1:12" ht="24.75" customHeight="1" thickBot="1">
      <c r="A17" s="545" t="s">
        <v>260</v>
      </c>
      <c r="B17" s="561">
        <f>3431400+1688467</f>
        <v>5119867</v>
      </c>
      <c r="C17" s="561">
        <f>3431400+1688467</f>
        <v>5119867</v>
      </c>
      <c r="D17" s="561">
        <f>3431400+1688467</f>
        <v>5119867</v>
      </c>
      <c r="E17" s="561">
        <f>3431400+1688467</f>
        <v>5119867</v>
      </c>
      <c r="F17" s="561">
        <f>3431400+1688467-27234</f>
        <v>5092633</v>
      </c>
      <c r="G17" s="561">
        <f>3376933+1770167</f>
        <v>5147100</v>
      </c>
      <c r="H17" s="561">
        <f>3376933+1770167</f>
        <v>5147100</v>
      </c>
      <c r="I17" s="561">
        <f>3376933+1770167+27233</f>
        <v>5174333</v>
      </c>
      <c r="J17" s="561">
        <f>3376933+1770167+27233</f>
        <v>5174333</v>
      </c>
      <c r="K17" s="559">
        <f>+I17-H17</f>
        <v>27233</v>
      </c>
      <c r="L17" s="1693"/>
    </row>
    <row r="18" spans="1:14" s="548" customFormat="1" ht="24.75" customHeight="1" thickBot="1">
      <c r="A18" s="550" t="s">
        <v>341</v>
      </c>
      <c r="B18" s="563">
        <f>SUM(B16:B17)</f>
        <v>40085360</v>
      </c>
      <c r="C18" s="563">
        <f>SUM(C16:C17)</f>
        <v>40085360</v>
      </c>
      <c r="D18" s="563">
        <f>SUM(D16:D17)</f>
        <v>40085360</v>
      </c>
      <c r="E18" s="563">
        <f>SUM(E16:E17)</f>
        <v>40886087</v>
      </c>
      <c r="F18" s="563">
        <f aca="true" t="shared" si="2" ref="F18:K18">SUM(F16:F17)</f>
        <v>41462298</v>
      </c>
      <c r="G18" s="563">
        <f t="shared" si="2"/>
        <v>42356217</v>
      </c>
      <c r="H18" s="563">
        <f t="shared" si="2"/>
        <v>42356217</v>
      </c>
      <c r="I18" s="563">
        <f t="shared" si="2"/>
        <v>42536267</v>
      </c>
      <c r="J18" s="563">
        <f t="shared" si="2"/>
        <v>42536267</v>
      </c>
      <c r="K18" s="563">
        <f t="shared" si="2"/>
        <v>180050</v>
      </c>
      <c r="L18" s="776">
        <f>H18/G18</f>
        <v>1</v>
      </c>
      <c r="N18" s="1006"/>
    </row>
    <row r="19" spans="1:12" ht="24.75" customHeight="1" hidden="1">
      <c r="A19" s="551" t="s">
        <v>261</v>
      </c>
      <c r="B19" s="564">
        <v>0</v>
      </c>
      <c r="C19" s="564">
        <v>0</v>
      </c>
      <c r="D19" s="564">
        <v>0</v>
      </c>
      <c r="E19" s="564">
        <v>0</v>
      </c>
      <c r="F19" s="564">
        <v>0</v>
      </c>
      <c r="G19" s="564">
        <v>0</v>
      </c>
      <c r="H19" s="564">
        <v>0</v>
      </c>
      <c r="I19" s="564">
        <v>0</v>
      </c>
      <c r="J19" s="564">
        <v>0</v>
      </c>
      <c r="K19" s="564"/>
      <c r="L19" s="1694"/>
    </row>
    <row r="20" spans="1:12" ht="24.75" customHeight="1">
      <c r="A20" s="543" t="s">
        <v>458</v>
      </c>
      <c r="B20" s="565">
        <v>18000000</v>
      </c>
      <c r="C20" s="565">
        <v>18000000</v>
      </c>
      <c r="D20" s="565">
        <v>18000000</v>
      </c>
      <c r="E20" s="565">
        <v>18000000</v>
      </c>
      <c r="F20" s="565">
        <v>18000000</v>
      </c>
      <c r="G20" s="565">
        <v>18000000</v>
      </c>
      <c r="H20" s="565">
        <v>18000000</v>
      </c>
      <c r="I20" s="565">
        <v>18000000</v>
      </c>
      <c r="J20" s="565">
        <v>18000000</v>
      </c>
      <c r="K20" s="565"/>
      <c r="L20" s="1695"/>
    </row>
    <row r="21" spans="1:12" ht="24.75" customHeight="1" hidden="1">
      <c r="A21" s="544" t="s">
        <v>263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1695"/>
    </row>
    <row r="22" spans="1:12" ht="24.75" customHeight="1">
      <c r="A22" s="543" t="s">
        <v>459</v>
      </c>
      <c r="B22" s="565">
        <v>17964320</v>
      </c>
      <c r="C22" s="565">
        <v>17964320</v>
      </c>
      <c r="D22" s="565">
        <v>17964320</v>
      </c>
      <c r="E22" s="565">
        <v>17964320</v>
      </c>
      <c r="F22" s="565">
        <f>-913440+17964320</f>
        <v>17050880</v>
      </c>
      <c r="G22" s="1036">
        <v>15832960</v>
      </c>
      <c r="H22" s="1036">
        <v>15832960</v>
      </c>
      <c r="I22" s="1036">
        <v>15711168</v>
      </c>
      <c r="J22" s="1036">
        <v>15711168</v>
      </c>
      <c r="K22" s="1172">
        <f>+I22-H22</f>
        <v>-121792</v>
      </c>
      <c r="L22" s="1695"/>
    </row>
    <row r="23" spans="1:12" ht="24.75" customHeight="1">
      <c r="A23" s="543" t="s">
        <v>1433</v>
      </c>
      <c r="B23" s="565">
        <v>2500000</v>
      </c>
      <c r="C23" s="565">
        <v>2500000</v>
      </c>
      <c r="D23" s="565">
        <v>2500000</v>
      </c>
      <c r="E23" s="565">
        <v>2500000</v>
      </c>
      <c r="F23" s="565">
        <v>2500000</v>
      </c>
      <c r="G23" s="565">
        <v>500000</v>
      </c>
      <c r="H23" s="565">
        <v>500000</v>
      </c>
      <c r="I23" s="565">
        <v>525000</v>
      </c>
      <c r="J23" s="565">
        <v>525000</v>
      </c>
      <c r="K23" s="1172">
        <f>+I23-H23</f>
        <v>25000</v>
      </c>
      <c r="L23" s="1695"/>
    </row>
    <row r="24" spans="1:12" ht="24.75" customHeight="1">
      <c r="A24" s="543" t="s">
        <v>1434</v>
      </c>
      <c r="B24" s="565">
        <v>34125000</v>
      </c>
      <c r="C24" s="565">
        <v>34125000</v>
      </c>
      <c r="D24" s="565">
        <v>34125000</v>
      </c>
      <c r="E24" s="565">
        <v>34125000</v>
      </c>
      <c r="F24" s="565">
        <f>6690000+34125000</f>
        <v>40815000</v>
      </c>
      <c r="G24" s="565">
        <v>42315000</v>
      </c>
      <c r="H24" s="565">
        <v>42315000</v>
      </c>
      <c r="I24" s="565">
        <v>43134000</v>
      </c>
      <c r="J24" s="565">
        <v>43134000</v>
      </c>
      <c r="K24" s="1172">
        <f>+I24-H24</f>
        <v>819000</v>
      </c>
      <c r="L24" s="1695"/>
    </row>
    <row r="25" spans="1:12" ht="24.75" customHeight="1">
      <c r="A25" s="544" t="s">
        <v>535</v>
      </c>
      <c r="B25" s="565">
        <v>7646600</v>
      </c>
      <c r="C25" s="565">
        <v>7646600</v>
      </c>
      <c r="D25" s="565">
        <v>7646600</v>
      </c>
      <c r="E25" s="565">
        <v>7646600</v>
      </c>
      <c r="F25" s="565">
        <f>-1349400+7646600</f>
        <v>6297200</v>
      </c>
      <c r="G25" s="565">
        <v>6297200</v>
      </c>
      <c r="H25" s="565">
        <v>6297200</v>
      </c>
      <c r="I25" s="565">
        <v>6747000</v>
      </c>
      <c r="J25" s="565">
        <v>6747000</v>
      </c>
      <c r="K25" s="1172">
        <f>+I25-H25</f>
        <v>449800</v>
      </c>
      <c r="L25" s="1695"/>
    </row>
    <row r="26" spans="1:12" ht="24.75" customHeight="1">
      <c r="A26" s="544" t="s">
        <v>460</v>
      </c>
      <c r="B26" s="565">
        <v>2452500</v>
      </c>
      <c r="C26" s="565">
        <v>2452500</v>
      </c>
      <c r="D26" s="565">
        <v>2452500</v>
      </c>
      <c r="E26" s="565">
        <v>2452500</v>
      </c>
      <c r="F26" s="565">
        <v>2452500</v>
      </c>
      <c r="G26" s="565">
        <v>2289000</v>
      </c>
      <c r="H26" s="565">
        <v>2289000</v>
      </c>
      <c r="I26" s="565">
        <v>2289000</v>
      </c>
      <c r="J26" s="565">
        <v>2289000</v>
      </c>
      <c r="K26" s="565"/>
      <c r="L26" s="1695"/>
    </row>
    <row r="27" spans="1:12" ht="24.75" customHeight="1">
      <c r="A27" s="799" t="s">
        <v>536</v>
      </c>
      <c r="B27" s="565">
        <v>2000000</v>
      </c>
      <c r="C27" s="565">
        <v>2000000</v>
      </c>
      <c r="D27" s="565">
        <v>2000000</v>
      </c>
      <c r="E27" s="565">
        <v>2000000</v>
      </c>
      <c r="F27" s="565">
        <v>2000000</v>
      </c>
      <c r="G27" s="565">
        <v>2000000</v>
      </c>
      <c r="H27" s="565">
        <v>2000000</v>
      </c>
      <c r="I27" s="565">
        <v>2000000</v>
      </c>
      <c r="J27" s="565">
        <v>2000000</v>
      </c>
      <c r="K27" s="565"/>
      <c r="L27" s="1695"/>
    </row>
    <row r="28" spans="1:12" ht="32.25" customHeight="1">
      <c r="A28" s="800" t="s">
        <v>537</v>
      </c>
      <c r="B28" s="565">
        <v>5400000</v>
      </c>
      <c r="C28" s="565">
        <v>5400000</v>
      </c>
      <c r="D28" s="565">
        <v>5400000</v>
      </c>
      <c r="E28" s="565">
        <v>5400000</v>
      </c>
      <c r="F28" s="565">
        <v>5400000</v>
      </c>
      <c r="G28" s="565">
        <v>5400000</v>
      </c>
      <c r="H28" s="565">
        <v>5400000</v>
      </c>
      <c r="I28" s="565">
        <v>5550000</v>
      </c>
      <c r="J28" s="565">
        <v>5550000</v>
      </c>
      <c r="K28" s="1172">
        <f>+I28-H28</f>
        <v>150000</v>
      </c>
      <c r="L28" s="1695"/>
    </row>
    <row r="29" spans="1:12" s="552" customFormat="1" ht="24.75" customHeight="1">
      <c r="A29" s="585" t="s">
        <v>264</v>
      </c>
      <c r="B29" s="586">
        <f aca="true" t="shared" si="3" ref="B29:G29">SUM(B20,B22:B28)</f>
        <v>90088420</v>
      </c>
      <c r="C29" s="586">
        <f t="shared" si="3"/>
        <v>90088420</v>
      </c>
      <c r="D29" s="586">
        <f t="shared" si="3"/>
        <v>90088420</v>
      </c>
      <c r="E29" s="586">
        <f t="shared" si="3"/>
        <v>90088420</v>
      </c>
      <c r="F29" s="586">
        <f t="shared" si="3"/>
        <v>94515580</v>
      </c>
      <c r="G29" s="586">
        <f t="shared" si="3"/>
        <v>92634160</v>
      </c>
      <c r="H29" s="586">
        <f>SUM(H20,H22:H28)</f>
        <v>92634160</v>
      </c>
      <c r="I29" s="586">
        <f>SUM(I20,I22:I28)</f>
        <v>93956168</v>
      </c>
      <c r="J29" s="586">
        <f>SUM(J20,J22:J28)</f>
        <v>93956168</v>
      </c>
      <c r="K29" s="586">
        <f>SUM(K20,K22:K28)</f>
        <v>1322008</v>
      </c>
      <c r="L29" s="1695"/>
    </row>
    <row r="30" spans="1:12" s="552" customFormat="1" ht="24.75" customHeight="1">
      <c r="A30" s="587" t="s">
        <v>344</v>
      </c>
      <c r="B30" s="565">
        <v>10118400</v>
      </c>
      <c r="C30" s="565">
        <v>10118400</v>
      </c>
      <c r="D30" s="565">
        <v>10118400</v>
      </c>
      <c r="E30" s="565">
        <v>10118400</v>
      </c>
      <c r="F30" s="565">
        <v>10118400</v>
      </c>
      <c r="G30" s="565">
        <f>767040+10118400</f>
        <v>10885440</v>
      </c>
      <c r="H30" s="565">
        <f>767040+10118400</f>
        <v>10885440</v>
      </c>
      <c r="I30" s="565">
        <f>767040+10118400</f>
        <v>10885440</v>
      </c>
      <c r="J30" s="565">
        <f>767040+10118400</f>
        <v>10885440</v>
      </c>
      <c r="K30" s="565"/>
      <c r="L30" s="1695"/>
    </row>
    <row r="31" spans="1:12" s="552" customFormat="1" ht="24.75" customHeight="1">
      <c r="A31" s="587" t="s">
        <v>343</v>
      </c>
      <c r="B31" s="565">
        <v>3783935</v>
      </c>
      <c r="C31" s="565">
        <v>3783935</v>
      </c>
      <c r="D31" s="565">
        <v>3783935</v>
      </c>
      <c r="E31" s="565">
        <v>3783935</v>
      </c>
      <c r="F31" s="565">
        <v>3783935</v>
      </c>
      <c r="G31" s="565">
        <f>3783935-521346</f>
        <v>3262589</v>
      </c>
      <c r="H31" s="565">
        <f>3783935-521346</f>
        <v>3262589</v>
      </c>
      <c r="I31" s="565">
        <f>3783935-521346</f>
        <v>3262589</v>
      </c>
      <c r="J31" s="565">
        <f>3783935-521346</f>
        <v>3262589</v>
      </c>
      <c r="K31" s="565"/>
      <c r="L31" s="1695"/>
    </row>
    <row r="32" spans="1:12" s="552" customFormat="1" ht="24.75" customHeight="1">
      <c r="A32" s="797" t="s">
        <v>461</v>
      </c>
      <c r="B32" s="798">
        <v>143640</v>
      </c>
      <c r="C32" s="798">
        <v>143640</v>
      </c>
      <c r="D32" s="798">
        <v>143640</v>
      </c>
      <c r="E32" s="798">
        <v>143640</v>
      </c>
      <c r="F32" s="798">
        <f>-4560+143640</f>
        <v>139080</v>
      </c>
      <c r="G32" s="798">
        <v>18240</v>
      </c>
      <c r="H32" s="798">
        <v>18240</v>
      </c>
      <c r="I32" s="798">
        <v>0</v>
      </c>
      <c r="J32" s="798">
        <v>0</v>
      </c>
      <c r="K32" s="798">
        <f>+I32-H32</f>
        <v>-18240</v>
      </c>
      <c r="L32" s="1695"/>
    </row>
    <row r="33" spans="1:12" s="552" customFormat="1" ht="24.75" customHeight="1" thickBot="1">
      <c r="A33" s="588" t="s">
        <v>342</v>
      </c>
      <c r="B33" s="589">
        <f aca="true" t="shared" si="4" ref="B33:G33">SUM(B30:B32)</f>
        <v>14045975</v>
      </c>
      <c r="C33" s="589">
        <f t="shared" si="4"/>
        <v>14045975</v>
      </c>
      <c r="D33" s="589">
        <f t="shared" si="4"/>
        <v>14045975</v>
      </c>
      <c r="E33" s="589">
        <f t="shared" si="4"/>
        <v>14045975</v>
      </c>
      <c r="F33" s="589">
        <f t="shared" si="4"/>
        <v>14041415</v>
      </c>
      <c r="G33" s="589">
        <f t="shared" si="4"/>
        <v>14166269</v>
      </c>
      <c r="H33" s="589">
        <f>SUM(H30:H32)</f>
        <v>14166269</v>
      </c>
      <c r="I33" s="589">
        <f>SUM(I30:I32)</f>
        <v>14148029</v>
      </c>
      <c r="J33" s="589">
        <f>SUM(J30:J32)</f>
        <v>14148029</v>
      </c>
      <c r="K33" s="589">
        <f>SUM(K30:K32)</f>
        <v>-18240</v>
      </c>
      <c r="L33" s="1695"/>
    </row>
    <row r="34" spans="1:12" s="552" customFormat="1" ht="24.75" customHeight="1" thickBot="1">
      <c r="A34" s="766" t="s">
        <v>549</v>
      </c>
      <c r="B34" s="767"/>
      <c r="C34" s="767">
        <f>1201788+1105977</f>
        <v>2307765</v>
      </c>
      <c r="D34" s="767">
        <f>1201788+1105977+4767278</f>
        <v>7075043</v>
      </c>
      <c r="E34" s="767">
        <f>1201788+1105977+4767278+1515184</f>
        <v>8590227</v>
      </c>
      <c r="F34" s="767">
        <f>2966139+1201788+1105977+4767278+1515184</f>
        <v>11556366</v>
      </c>
      <c r="G34" s="767">
        <v>17308283</v>
      </c>
      <c r="H34" s="767">
        <v>17308283</v>
      </c>
      <c r="I34" s="767">
        <v>17308283</v>
      </c>
      <c r="J34" s="767">
        <v>17308283</v>
      </c>
      <c r="K34" s="767"/>
      <c r="L34" s="1696"/>
    </row>
    <row r="35" spans="1:12" s="552" customFormat="1" ht="24.75" customHeight="1" hidden="1" thickBot="1">
      <c r="A35" s="766"/>
      <c r="B35" s="767"/>
      <c r="C35" s="767"/>
      <c r="D35" s="767"/>
      <c r="E35" s="767"/>
      <c r="F35" s="767"/>
      <c r="G35" s="767"/>
      <c r="H35" s="767"/>
      <c r="I35" s="767"/>
      <c r="J35" s="767"/>
      <c r="K35" s="767"/>
      <c r="L35" s="812"/>
    </row>
    <row r="36" spans="1:12" s="553" customFormat="1" ht="24.75" customHeight="1" thickBot="1">
      <c r="A36" s="550" t="s">
        <v>345</v>
      </c>
      <c r="B36" s="563">
        <f>B19+B29+B33</f>
        <v>104134395</v>
      </c>
      <c r="C36" s="563">
        <f aca="true" t="shared" si="5" ref="C36:K36">C19+C29+C33+C34</f>
        <v>106442160</v>
      </c>
      <c r="D36" s="563">
        <f t="shared" si="5"/>
        <v>111209438</v>
      </c>
      <c r="E36" s="563">
        <f t="shared" si="5"/>
        <v>112724622</v>
      </c>
      <c r="F36" s="563">
        <f t="shared" si="5"/>
        <v>120113361</v>
      </c>
      <c r="G36" s="1008">
        <f t="shared" si="5"/>
        <v>124108712</v>
      </c>
      <c r="H36" s="1008">
        <f t="shared" si="5"/>
        <v>124108712</v>
      </c>
      <c r="I36" s="1008">
        <f t="shared" si="5"/>
        <v>125412480</v>
      </c>
      <c r="J36" s="1008">
        <f t="shared" si="5"/>
        <v>125412480</v>
      </c>
      <c r="K36" s="563">
        <f t="shared" si="5"/>
        <v>1303768</v>
      </c>
      <c r="L36" s="776">
        <f>H36/G36</f>
        <v>1</v>
      </c>
    </row>
    <row r="37" spans="1:13" s="552" customFormat="1" ht="24.75" customHeight="1" thickBot="1">
      <c r="A37" s="554" t="s">
        <v>346</v>
      </c>
      <c r="B37" s="566">
        <v>3057480</v>
      </c>
      <c r="C37" s="566">
        <v>3057480</v>
      </c>
      <c r="D37" s="566">
        <v>3057480</v>
      </c>
      <c r="E37" s="566">
        <v>3057480</v>
      </c>
      <c r="F37" s="566">
        <v>3057480</v>
      </c>
      <c r="G37" s="566">
        <v>3057480</v>
      </c>
      <c r="H37" s="566">
        <v>3057480</v>
      </c>
      <c r="I37" s="566">
        <v>3057480</v>
      </c>
      <c r="J37" s="566">
        <v>3057480</v>
      </c>
      <c r="K37" s="566"/>
      <c r="L37" s="777">
        <f>H37/G37</f>
        <v>1</v>
      </c>
      <c r="M37" s="1004"/>
    </row>
    <row r="38" spans="1:12" ht="24.75" customHeight="1" hidden="1">
      <c r="A38" s="545" t="s">
        <v>265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778"/>
    </row>
    <row r="39" spans="1:12" ht="24.75" customHeight="1" hidden="1">
      <c r="A39" s="546" t="s">
        <v>349</v>
      </c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779"/>
    </row>
    <row r="40" spans="1:12" ht="24.75" customHeight="1" hidden="1">
      <c r="A40" s="799" t="s">
        <v>536</v>
      </c>
      <c r="B40" s="718"/>
      <c r="C40" s="718"/>
      <c r="D40" s="718"/>
      <c r="E40" s="718"/>
      <c r="F40" s="718"/>
      <c r="G40" s="718"/>
      <c r="H40" s="718"/>
      <c r="I40" s="718"/>
      <c r="J40" s="718"/>
      <c r="K40" s="568"/>
      <c r="L40" s="779"/>
    </row>
    <row r="41" spans="1:12" ht="33.75" customHeight="1" hidden="1">
      <c r="A41" s="800" t="s">
        <v>537</v>
      </c>
      <c r="B41" s="718"/>
      <c r="C41" s="718"/>
      <c r="D41" s="718"/>
      <c r="E41" s="718"/>
      <c r="F41" s="718"/>
      <c r="G41" s="718"/>
      <c r="H41" s="718"/>
      <c r="I41" s="718"/>
      <c r="J41" s="718"/>
      <c r="K41" s="568"/>
      <c r="L41" s="779"/>
    </row>
    <row r="42" spans="1:12" ht="24.75" customHeight="1" hidden="1">
      <c r="A42" s="546" t="s">
        <v>538</v>
      </c>
      <c r="B42" s="568">
        <f aca="true" t="shared" si="6" ref="B42:G42">SUM(B40:B41)</f>
        <v>0</v>
      </c>
      <c r="C42" s="568">
        <f t="shared" si="6"/>
        <v>0</v>
      </c>
      <c r="D42" s="568">
        <f t="shared" si="6"/>
        <v>0</v>
      </c>
      <c r="E42" s="568">
        <f t="shared" si="6"/>
        <v>0</v>
      </c>
      <c r="F42" s="568">
        <f t="shared" si="6"/>
        <v>0</v>
      </c>
      <c r="G42" s="568">
        <f t="shared" si="6"/>
        <v>0</v>
      </c>
      <c r="H42" s="568">
        <f>SUM(H40:H41)</f>
        <v>0</v>
      </c>
      <c r="I42" s="568">
        <f>SUM(I40:I41)</f>
        <v>0</v>
      </c>
      <c r="J42" s="568">
        <f>SUM(J40:J41)</f>
        <v>0</v>
      </c>
      <c r="K42" s="568"/>
      <c r="L42" s="779"/>
    </row>
    <row r="43" spans="1:13" ht="24.75" customHeight="1">
      <c r="A43" s="546" t="s">
        <v>472</v>
      </c>
      <c r="B43" s="568"/>
      <c r="C43" s="568"/>
      <c r="D43" s="568">
        <v>2175574</v>
      </c>
      <c r="E43" s="568">
        <v>2175574</v>
      </c>
      <c r="F43" s="568">
        <f>1032242+2175574</f>
        <v>3207816</v>
      </c>
      <c r="G43" s="568">
        <v>3907050</v>
      </c>
      <c r="H43" s="568">
        <v>3907050</v>
      </c>
      <c r="I43" s="568">
        <v>3907050</v>
      </c>
      <c r="J43" s="568">
        <v>3907050</v>
      </c>
      <c r="K43" s="568"/>
      <c r="L43" s="779">
        <f>H43/G43</f>
        <v>1</v>
      </c>
      <c r="M43" s="801"/>
    </row>
    <row r="44" spans="1:12" ht="24.75" customHeight="1">
      <c r="A44" s="546" t="s">
        <v>560</v>
      </c>
      <c r="B44" s="568"/>
      <c r="C44" s="568"/>
      <c r="D44" s="568">
        <v>283506</v>
      </c>
      <c r="E44" s="568">
        <f>283506+74420</f>
        <v>357926</v>
      </c>
      <c r="F44" s="568">
        <f>283506+74420+148842</f>
        <v>506768</v>
      </c>
      <c r="G44" s="568">
        <v>804454</v>
      </c>
      <c r="H44" s="568">
        <v>804454</v>
      </c>
      <c r="I44" s="568">
        <v>804454</v>
      </c>
      <c r="J44" s="568">
        <v>804454</v>
      </c>
      <c r="K44" s="568"/>
      <c r="L44" s="779"/>
    </row>
    <row r="45" spans="1:12" ht="42" customHeight="1">
      <c r="A45" s="953" t="s">
        <v>568</v>
      </c>
      <c r="B45" s="568"/>
      <c r="C45" s="568"/>
      <c r="D45" s="568"/>
      <c r="E45" s="568">
        <v>8686148</v>
      </c>
      <c r="F45" s="568">
        <f>2895383+8686148</f>
        <v>11581531</v>
      </c>
      <c r="G45" s="568">
        <v>14476914</v>
      </c>
      <c r="H45" s="568">
        <v>14476914</v>
      </c>
      <c r="I45" s="568">
        <v>14476914</v>
      </c>
      <c r="J45" s="568">
        <v>14476914</v>
      </c>
      <c r="K45" s="568"/>
      <c r="L45" s="779"/>
    </row>
    <row r="46" spans="1:12" ht="24.75" customHeight="1">
      <c r="A46" s="546" t="s">
        <v>620</v>
      </c>
      <c r="B46" s="568"/>
      <c r="C46" s="568"/>
      <c r="D46" s="568"/>
      <c r="E46" s="568"/>
      <c r="F46" s="568"/>
      <c r="G46" s="568">
        <v>2115820</v>
      </c>
      <c r="H46" s="568">
        <v>2115820</v>
      </c>
      <c r="I46" s="568">
        <v>2115820</v>
      </c>
      <c r="J46" s="568">
        <v>2115820</v>
      </c>
      <c r="K46" s="568"/>
      <c r="L46" s="779"/>
    </row>
    <row r="47" spans="1:12" ht="24.75" customHeight="1" hidden="1">
      <c r="A47" s="546" t="s">
        <v>621</v>
      </c>
      <c r="B47" s="568"/>
      <c r="C47" s="568"/>
      <c r="D47" s="568"/>
      <c r="E47" s="568"/>
      <c r="F47" s="568"/>
      <c r="G47" s="1007"/>
      <c r="H47" s="1007"/>
      <c r="I47" s="1007"/>
      <c r="J47" s="1007"/>
      <c r="K47" s="568"/>
      <c r="L47" s="779"/>
    </row>
    <row r="48" spans="1:12" ht="24.75" customHeight="1" hidden="1">
      <c r="A48" s="546" t="s">
        <v>438</v>
      </c>
      <c r="B48" s="568"/>
      <c r="C48" s="568"/>
      <c r="D48" s="568"/>
      <c r="E48" s="568"/>
      <c r="F48" s="568"/>
      <c r="G48" s="568"/>
      <c r="H48" s="568"/>
      <c r="I48" s="568"/>
      <c r="J48" s="568"/>
      <c r="K48" s="568"/>
      <c r="L48" s="779" t="e">
        <f>H48/G48</f>
        <v>#DIV/0!</v>
      </c>
    </row>
    <row r="49" spans="1:12" ht="24.75" customHeight="1" hidden="1">
      <c r="A49" s="546" t="s">
        <v>437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779" t="e">
        <f>H49/G49</f>
        <v>#DIV/0!</v>
      </c>
    </row>
    <row r="50" spans="1:12" ht="24.75" customHeight="1" hidden="1">
      <c r="A50" s="546" t="s">
        <v>441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  <c r="L50" s="779"/>
    </row>
    <row r="51" spans="1:12" ht="24.75" customHeight="1" hidden="1">
      <c r="A51" s="546" t="s">
        <v>503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779"/>
    </row>
    <row r="52" spans="1:12" ht="24.75" customHeight="1" hidden="1">
      <c r="A52" s="546" t="s">
        <v>504</v>
      </c>
      <c r="B52" s="568"/>
      <c r="C52" s="568"/>
      <c r="D52" s="568"/>
      <c r="E52" s="568"/>
      <c r="F52" s="568"/>
      <c r="G52" s="568"/>
      <c r="H52" s="568"/>
      <c r="I52" s="568"/>
      <c r="J52" s="568"/>
      <c r="K52" s="568"/>
      <c r="L52" s="779"/>
    </row>
    <row r="53" spans="1:14" s="556" customFormat="1" ht="26.25" customHeight="1" thickBot="1">
      <c r="A53" s="555" t="s">
        <v>25</v>
      </c>
      <c r="B53" s="569">
        <f>B15+B18+B36+B37+B42</f>
        <v>217306312</v>
      </c>
      <c r="C53" s="569">
        <f>C15+C18+C36+C37+C42</f>
        <v>219614077</v>
      </c>
      <c r="D53" s="569">
        <f>D15+D18+D36+D37+D42+D43+D44</f>
        <v>226840435</v>
      </c>
      <c r="E53" s="569">
        <f>E15+E18+E36+E37+E42+E43+E44+E45</f>
        <v>237916914</v>
      </c>
      <c r="F53" s="569">
        <f>F15+F18+F36+F37+F42+F43+F44+F45</f>
        <v>249958331</v>
      </c>
      <c r="G53" s="569">
        <f>G15+G18+G36+G37+G42+G43+G44+G45+G46+G47</f>
        <v>260855724</v>
      </c>
      <c r="H53" s="569">
        <f>H15+H18+H36+H37+H42+H43+H44+H45+H46+H47</f>
        <v>260855724</v>
      </c>
      <c r="I53" s="569">
        <f>I15+I18+I36+I37+I42+I43+I44+I45+I46+I47</f>
        <v>262339542</v>
      </c>
      <c r="J53" s="569">
        <f>J15+J18+J36+J37+J42+J43+J44+J45+J46+J47</f>
        <v>262339542</v>
      </c>
      <c r="K53" s="569">
        <f>K15+K18+K36+K37+K42</f>
        <v>1483818</v>
      </c>
      <c r="L53" s="569">
        <f>L15+L18+L36+L37+L42</f>
        <v>4</v>
      </c>
      <c r="M53" s="1005"/>
      <c r="N53" s="1005"/>
    </row>
    <row r="54" ht="15" hidden="1">
      <c r="B54" s="801">
        <f>'3.sz.m Önk  bev.'!E33</f>
        <v>217306312</v>
      </c>
    </row>
    <row r="55" spans="1:2" ht="15" hidden="1">
      <c r="A55" s="557"/>
      <c r="B55" s="801">
        <f>B53-B54</f>
        <v>0</v>
      </c>
    </row>
    <row r="56" spans="2:3" ht="15">
      <c r="B56" s="801"/>
      <c r="C56" s="801"/>
    </row>
    <row r="57" spans="4:7" ht="15">
      <c r="D57" s="801"/>
      <c r="E57" s="801"/>
      <c r="F57" s="801"/>
      <c r="G57" s="801"/>
    </row>
    <row r="58" ht="15">
      <c r="G58" s="801"/>
    </row>
  </sheetData>
  <sheetProtection/>
  <mergeCells count="6">
    <mergeCell ref="L6:L13"/>
    <mergeCell ref="L16:L17"/>
    <mergeCell ref="L19:L34"/>
    <mergeCell ref="B3:K3"/>
    <mergeCell ref="A2:K2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21" sqref="C21:D21"/>
    </sheetView>
  </sheetViews>
  <sheetFormatPr defaultColWidth="9.140625" defaultRowHeight="12.75"/>
  <cols>
    <col min="1" max="1" width="32.140625" style="744" customWidth="1"/>
    <col min="2" max="2" width="18.28125" style="745" customWidth="1"/>
    <col min="3" max="7" width="14.28125" style="745" customWidth="1"/>
    <col min="8" max="8" width="13.57421875" style="745" customWidth="1"/>
    <col min="9" max="16384" width="9.140625" style="745" customWidth="1"/>
  </cols>
  <sheetData>
    <row r="1" spans="6:7" ht="15">
      <c r="F1" s="1713" t="s">
        <v>665</v>
      </c>
      <c r="G1" s="1713"/>
    </row>
    <row r="2" spans="1:7" ht="24.75" customHeight="1">
      <c r="A2" s="1714" t="s">
        <v>413</v>
      </c>
      <c r="B2" s="1714"/>
      <c r="C2" s="1714"/>
      <c r="D2" s="1714"/>
      <c r="E2" s="1714"/>
      <c r="F2" s="1714"/>
      <c r="G2" s="1714"/>
    </row>
    <row r="3" spans="1:7" ht="18.75" customHeight="1">
      <c r="A3" s="1715" t="s">
        <v>539</v>
      </c>
      <c r="B3" s="1715"/>
      <c r="C3" s="1715"/>
      <c r="D3" s="1715"/>
      <c r="E3" s="1715"/>
      <c r="F3" s="1715"/>
      <c r="G3" s="1715"/>
    </row>
    <row r="4" spans="1:7" ht="24.75" customHeight="1">
      <c r="A4" s="1716" t="s">
        <v>414</v>
      </c>
      <c r="B4" s="1716"/>
      <c r="C4" s="1716"/>
      <c r="D4" s="1716"/>
      <c r="E4" s="1716"/>
      <c r="F4" s="1716"/>
      <c r="G4" s="1716"/>
    </row>
    <row r="5" ht="15.75" thickBot="1">
      <c r="G5" s="746" t="s">
        <v>449</v>
      </c>
    </row>
    <row r="6" spans="1:7" ht="24.75" customHeight="1">
      <c r="A6" s="1717" t="s">
        <v>415</v>
      </c>
      <c r="B6" s="1719" t="s">
        <v>416</v>
      </c>
      <c r="C6" s="1719"/>
      <c r="D6" s="1719"/>
      <c r="E6" s="1720" t="s">
        <v>417</v>
      </c>
      <c r="F6" s="1719"/>
      <c r="G6" s="1721"/>
    </row>
    <row r="7" spans="1:7" ht="24.75" customHeight="1" thickBot="1">
      <c r="A7" s="1718"/>
      <c r="B7" s="747" t="s">
        <v>418</v>
      </c>
      <c r="C7" s="747" t="s">
        <v>419</v>
      </c>
      <c r="D7" s="747" t="s">
        <v>420</v>
      </c>
      <c r="E7" s="748" t="s">
        <v>418</v>
      </c>
      <c r="F7" s="747" t="s">
        <v>421</v>
      </c>
      <c r="G7" s="749" t="s">
        <v>420</v>
      </c>
    </row>
    <row r="8" spans="1:7" ht="33.75" customHeight="1">
      <c r="A8" s="750" t="s">
        <v>268</v>
      </c>
      <c r="B8" s="802"/>
      <c r="C8" s="802">
        <v>28962871</v>
      </c>
      <c r="D8" s="802">
        <f>SUM(B8:C8)</f>
        <v>28962871</v>
      </c>
      <c r="E8" s="803">
        <v>744000</v>
      </c>
      <c r="F8" s="803">
        <v>15189821</v>
      </c>
      <c r="G8" s="804">
        <f>SUM(E8:F8)</f>
        <v>15933821</v>
      </c>
    </row>
    <row r="9" spans="1:7" ht="33.75" customHeight="1">
      <c r="A9" s="751" t="s">
        <v>422</v>
      </c>
      <c r="B9" s="805"/>
      <c r="C9" s="805"/>
      <c r="D9" s="802">
        <f>SUM(B9:C9)</f>
        <v>0</v>
      </c>
      <c r="E9" s="806"/>
      <c r="F9" s="806"/>
      <c r="G9" s="804">
        <f>SUM(E9:F9)</f>
        <v>0</v>
      </c>
    </row>
    <row r="10" spans="1:7" ht="33.75" customHeight="1">
      <c r="A10" s="751" t="s">
        <v>423</v>
      </c>
      <c r="B10" s="805">
        <v>2358226</v>
      </c>
      <c r="C10" s="805"/>
      <c r="D10" s="802">
        <f>SUM(B10:C10)</f>
        <v>2358226</v>
      </c>
      <c r="E10" s="806">
        <v>160336</v>
      </c>
      <c r="F10" s="806"/>
      <c r="G10" s="804">
        <f>SUM(E10:F10)</f>
        <v>160336</v>
      </c>
    </row>
    <row r="11" spans="1:7" ht="33.75" customHeight="1">
      <c r="A11" s="752" t="s">
        <v>269</v>
      </c>
      <c r="B11" s="807"/>
      <c r="C11" s="807"/>
      <c r="D11" s="802">
        <f>SUM(B11:C11)</f>
        <v>0</v>
      </c>
      <c r="E11" s="808"/>
      <c r="F11" s="808"/>
      <c r="G11" s="804">
        <f>SUM(E11:F11)</f>
        <v>0</v>
      </c>
    </row>
    <row r="12" spans="1:7" ht="33.75" customHeight="1" thickBot="1">
      <c r="A12" s="753" t="s">
        <v>270</v>
      </c>
      <c r="B12" s="809"/>
      <c r="C12" s="809"/>
      <c r="D12" s="809">
        <f>SUM(B12:C12)</f>
        <v>0</v>
      </c>
      <c r="E12" s="810"/>
      <c r="F12" s="810"/>
      <c r="G12" s="811">
        <f>SUM(E12:F12)</f>
        <v>0</v>
      </c>
    </row>
    <row r="13" spans="1:7" ht="33.75" customHeight="1" thickBot="1">
      <c r="A13" s="754" t="s">
        <v>1</v>
      </c>
      <c r="B13" s="755">
        <f aca="true" t="shared" si="0" ref="B13:G13">SUM(B8:B12)</f>
        <v>2358226</v>
      </c>
      <c r="C13" s="755">
        <f t="shared" si="0"/>
        <v>28962871</v>
      </c>
      <c r="D13" s="755">
        <f t="shared" si="0"/>
        <v>31321097</v>
      </c>
      <c r="E13" s="755">
        <f t="shared" si="0"/>
        <v>904336</v>
      </c>
      <c r="F13" s="755">
        <f t="shared" si="0"/>
        <v>15189821</v>
      </c>
      <c r="G13" s="756">
        <f t="shared" si="0"/>
        <v>16094157</v>
      </c>
    </row>
    <row r="15" spans="1:7" ht="28.5" customHeight="1">
      <c r="A15" s="1700" t="s">
        <v>424</v>
      </c>
      <c r="B15" s="1700"/>
      <c r="C15" s="1700"/>
      <c r="D15" s="1700"/>
      <c r="E15" s="1700"/>
      <c r="F15" s="1700"/>
      <c r="G15" s="1700"/>
    </row>
    <row r="16" ht="15.75" thickBot="1">
      <c r="E16" s="746"/>
    </row>
    <row r="17" spans="2:4" ht="19.5" customHeight="1">
      <c r="B17" s="1701" t="s">
        <v>251</v>
      </c>
      <c r="C17" s="1703" t="s">
        <v>425</v>
      </c>
      <c r="D17" s="1704"/>
    </row>
    <row r="18" spans="2:4" ht="30" customHeight="1" thickBot="1">
      <c r="B18" s="1702"/>
      <c r="C18" s="1705"/>
      <c r="D18" s="1706"/>
    </row>
    <row r="19" spans="2:4" ht="29.25" customHeight="1">
      <c r="B19" s="757" t="s">
        <v>426</v>
      </c>
      <c r="C19" s="1707">
        <v>6226428</v>
      </c>
      <c r="D19" s="1708"/>
    </row>
    <row r="20" spans="2:4" ht="28.5" customHeight="1" hidden="1" thickBot="1">
      <c r="B20" s="758" t="s">
        <v>427</v>
      </c>
      <c r="C20" s="1709"/>
      <c r="D20" s="1710"/>
    </row>
    <row r="21" spans="2:4" s="760" customFormat="1" ht="27.75" customHeight="1" thickBot="1">
      <c r="B21" s="759" t="s">
        <v>1</v>
      </c>
      <c r="C21" s="1711">
        <f>SUM(C19:D20)</f>
        <v>6226428</v>
      </c>
      <c r="D21" s="1712"/>
    </row>
  </sheetData>
  <sheetProtection/>
  <mergeCells count="13">
    <mergeCell ref="F1:G1"/>
    <mergeCell ref="A2:G2"/>
    <mergeCell ref="A3:G3"/>
    <mergeCell ref="A4:G4"/>
    <mergeCell ref="A6:A7"/>
    <mergeCell ref="B6:D6"/>
    <mergeCell ref="E6:G6"/>
    <mergeCell ref="A15:G15"/>
    <mergeCell ref="B17:B18"/>
    <mergeCell ref="C17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workbookViewId="0" topLeftCell="A1">
      <selection activeCell="C21" sqref="C21"/>
    </sheetView>
  </sheetViews>
  <sheetFormatPr defaultColWidth="9.140625" defaultRowHeight="12.75"/>
  <cols>
    <col min="1" max="1" width="5.8515625" style="1248" customWidth="1"/>
    <col min="2" max="2" width="42.57421875" style="1247" customWidth="1"/>
    <col min="3" max="8" width="11.00390625" style="1247" customWidth="1"/>
    <col min="9" max="9" width="12.28125" style="1247" customWidth="1"/>
    <col min="10" max="10" width="2.8515625" style="1247" customWidth="1"/>
    <col min="11" max="16384" width="9.140625" style="1247" customWidth="1"/>
  </cols>
  <sheetData>
    <row r="1" spans="1:9" ht="27.75" customHeight="1">
      <c r="A1" s="1725" t="s">
        <v>681</v>
      </c>
      <c r="B1" s="1725"/>
      <c r="C1" s="1725"/>
      <c r="D1" s="1725"/>
      <c r="E1" s="1725"/>
      <c r="F1" s="1725"/>
      <c r="G1" s="1725"/>
      <c r="H1" s="1725"/>
      <c r="I1" s="1725"/>
    </row>
    <row r="2" ht="20.25" customHeight="1" thickBot="1">
      <c r="I2" s="1249" t="str">
        <f>'[1]1. sz tájékoztató t.'!E2</f>
        <v>Forintban!</v>
      </c>
    </row>
    <row r="3" spans="1:9" s="1250" customFormat="1" ht="26.25" customHeight="1">
      <c r="A3" s="1726" t="s">
        <v>648</v>
      </c>
      <c r="B3" s="1728" t="s">
        <v>682</v>
      </c>
      <c r="C3" s="1726" t="s">
        <v>683</v>
      </c>
      <c r="D3" s="1730" t="s">
        <v>716</v>
      </c>
      <c r="E3" s="1732" t="s">
        <v>684</v>
      </c>
      <c r="F3" s="1733"/>
      <c r="G3" s="1733"/>
      <c r="H3" s="1734"/>
      <c r="I3" s="1728" t="s">
        <v>1</v>
      </c>
    </row>
    <row r="4" spans="1:9" s="1253" customFormat="1" ht="32.25" customHeight="1" thickBot="1">
      <c r="A4" s="1727"/>
      <c r="B4" s="1729"/>
      <c r="C4" s="1729"/>
      <c r="D4" s="1731"/>
      <c r="E4" s="1251" t="s">
        <v>539</v>
      </c>
      <c r="F4" s="1251" t="s">
        <v>685</v>
      </c>
      <c r="G4" s="1251" t="s">
        <v>662</v>
      </c>
      <c r="H4" s="1252" t="s">
        <v>686</v>
      </c>
      <c r="I4" s="1729"/>
    </row>
    <row r="5" spans="1:9" s="1259" customFormat="1" ht="12.75" customHeight="1" thickBot="1">
      <c r="A5" s="1254" t="s">
        <v>687</v>
      </c>
      <c r="B5" s="1255" t="s">
        <v>15</v>
      </c>
      <c r="C5" s="1256" t="s">
        <v>688</v>
      </c>
      <c r="D5" s="1255" t="s">
        <v>689</v>
      </c>
      <c r="E5" s="1254" t="s">
        <v>690</v>
      </c>
      <c r="F5" s="1256" t="s">
        <v>16</v>
      </c>
      <c r="G5" s="1256" t="s">
        <v>691</v>
      </c>
      <c r="H5" s="1257" t="s">
        <v>692</v>
      </c>
      <c r="I5" s="1258" t="s">
        <v>693</v>
      </c>
    </row>
    <row r="6" spans="1:9" ht="24.75" customHeight="1" thickBot="1">
      <c r="A6" s="1260" t="s">
        <v>27</v>
      </c>
      <c r="B6" s="1260" t="s">
        <v>694</v>
      </c>
      <c r="C6" s="1261"/>
      <c r="D6" s="1262">
        <f>+D7+D8</f>
        <v>0</v>
      </c>
      <c r="E6" s="1263">
        <f>+E7+E8</f>
        <v>0</v>
      </c>
      <c r="F6" s="1264">
        <f>+F7+F8</f>
        <v>0</v>
      </c>
      <c r="G6" s="1264">
        <f>+G7+G8</f>
        <v>0</v>
      </c>
      <c r="H6" s="1265">
        <f>+H7+H8</f>
        <v>0</v>
      </c>
      <c r="I6" s="1266">
        <f aca="true" t="shared" si="0" ref="I6:I25">SUM(D6:H6)</f>
        <v>0</v>
      </c>
    </row>
    <row r="7" spans="1:10" ht="19.5" customHeight="1">
      <c r="A7" s="1267" t="s">
        <v>28</v>
      </c>
      <c r="B7" s="1267" t="s">
        <v>695</v>
      </c>
      <c r="C7" s="1268"/>
      <c r="D7" s="1269"/>
      <c r="E7" s="1270"/>
      <c r="F7" s="1271"/>
      <c r="G7" s="1271"/>
      <c r="H7" s="1272"/>
      <c r="I7" s="1273">
        <f t="shared" si="0"/>
        <v>0</v>
      </c>
      <c r="J7" s="1722"/>
    </row>
    <row r="8" spans="1:10" ht="19.5" customHeight="1" thickBot="1">
      <c r="A8" s="1267" t="s">
        <v>10</v>
      </c>
      <c r="B8" s="1267" t="s">
        <v>695</v>
      </c>
      <c r="C8" s="1268"/>
      <c r="D8" s="1269"/>
      <c r="E8" s="1270"/>
      <c r="F8" s="1271"/>
      <c r="G8" s="1271"/>
      <c r="H8" s="1272"/>
      <c r="I8" s="1273">
        <f t="shared" si="0"/>
        <v>0</v>
      </c>
      <c r="J8" s="1722"/>
    </row>
    <row r="9" spans="1:10" ht="25.5" customHeight="1" thickBot="1">
      <c r="A9" s="1260" t="s">
        <v>11</v>
      </c>
      <c r="B9" s="1260" t="s">
        <v>696</v>
      </c>
      <c r="C9" s="1261"/>
      <c r="D9" s="1262">
        <f>+D10+D11</f>
        <v>0</v>
      </c>
      <c r="E9" s="1263">
        <f>+E10+E11</f>
        <v>0</v>
      </c>
      <c r="F9" s="1264">
        <f>+F10+F11</f>
        <v>3115585</v>
      </c>
      <c r="G9" s="1264">
        <f>+G10+G11</f>
        <v>2283114</v>
      </c>
      <c r="H9" s="1265">
        <f>+H10+H11</f>
        <v>0</v>
      </c>
      <c r="I9" s="1266">
        <f t="shared" si="0"/>
        <v>5398699</v>
      </c>
      <c r="J9" s="1722"/>
    </row>
    <row r="10" spans="1:10" ht="19.5" customHeight="1">
      <c r="A10" s="1267" t="s">
        <v>12</v>
      </c>
      <c r="B10" s="1267" t="s">
        <v>697</v>
      </c>
      <c r="C10" s="1268"/>
      <c r="D10" s="1269"/>
      <c r="E10" s="1270"/>
      <c r="F10" s="1271">
        <f>+'14. sz adósság kötelezettség'!D7</f>
        <v>3115585</v>
      </c>
      <c r="G10" s="1271">
        <f>+'14. sz adósság kötelezettség'!E7</f>
        <v>2283114</v>
      </c>
      <c r="H10" s="1272"/>
      <c r="I10" s="1273">
        <f t="shared" si="0"/>
        <v>5398699</v>
      </c>
      <c r="J10" s="1722"/>
    </row>
    <row r="11" spans="1:10" ht="19.5" customHeight="1" thickBot="1">
      <c r="A11" s="1267" t="s">
        <v>13</v>
      </c>
      <c r="B11" s="1267" t="s">
        <v>695</v>
      </c>
      <c r="C11" s="1268"/>
      <c r="D11" s="1269"/>
      <c r="E11" s="1270"/>
      <c r="F11" s="1271"/>
      <c r="G11" s="1271"/>
      <c r="H11" s="1272"/>
      <c r="I11" s="1273">
        <f t="shared" si="0"/>
        <v>0</v>
      </c>
      <c r="J11" s="1722"/>
    </row>
    <row r="12" spans="1:10" ht="19.5" customHeight="1" thickBot="1">
      <c r="A12" s="1260" t="s">
        <v>14</v>
      </c>
      <c r="B12" s="1260" t="s">
        <v>698</v>
      </c>
      <c r="C12" s="1261"/>
      <c r="D12" s="1262">
        <f>SUM(D13:D17)</f>
        <v>1649148</v>
      </c>
      <c r="E12" s="1262">
        <f>SUM(E13:E17)</f>
        <v>1046276</v>
      </c>
      <c r="F12" s="1262">
        <f>SUM(F13:F17)</f>
        <v>85666461</v>
      </c>
      <c r="G12" s="1262">
        <f>SUM(G13:G17)</f>
        <v>0</v>
      </c>
      <c r="H12" s="1265">
        <f>SUM(H13:H17)</f>
        <v>0</v>
      </c>
      <c r="I12" s="1266">
        <f>SUM(D12:H12)</f>
        <v>88361885</v>
      </c>
      <c r="J12" s="1722"/>
    </row>
    <row r="13" spans="1:10" ht="79.5" customHeight="1">
      <c r="A13" s="1274" t="s">
        <v>57</v>
      </c>
      <c r="B13" s="1274" t="s">
        <v>699</v>
      </c>
      <c r="C13" s="1275" t="s">
        <v>700</v>
      </c>
      <c r="D13" s="1276"/>
      <c r="E13" s="1277"/>
      <c r="F13" s="1277">
        <v>3000000</v>
      </c>
      <c r="G13" s="1277"/>
      <c r="H13" s="1278"/>
      <c r="I13" s="1279">
        <f t="shared" si="0"/>
        <v>3000000</v>
      </c>
      <c r="J13" s="1722"/>
    </row>
    <row r="14" spans="1:10" ht="22.5" hidden="1">
      <c r="A14" s="1280" t="s">
        <v>58</v>
      </c>
      <c r="B14" s="1280" t="s">
        <v>701</v>
      </c>
      <c r="C14" s="1268" t="s">
        <v>700</v>
      </c>
      <c r="D14" s="1281"/>
      <c r="E14" s="1282"/>
      <c r="F14" s="1283"/>
      <c r="G14" s="1283"/>
      <c r="H14" s="1284"/>
      <c r="I14" s="1273"/>
      <c r="J14" s="1722"/>
    </row>
    <row r="15" spans="1:10" ht="12.75">
      <c r="A15" s="1280" t="s">
        <v>405</v>
      </c>
      <c r="B15" s="1280"/>
      <c r="C15" s="1268"/>
      <c r="D15" s="1281"/>
      <c r="E15" s="1282"/>
      <c r="F15" s="1283"/>
      <c r="G15" s="1283"/>
      <c r="H15" s="1284"/>
      <c r="I15" s="1273">
        <f t="shared" si="0"/>
        <v>0</v>
      </c>
      <c r="J15" s="1722"/>
    </row>
    <row r="16" spans="1:10" ht="12.75">
      <c r="A16" s="1280" t="s">
        <v>407</v>
      </c>
      <c r="B16" s="1280" t="s">
        <v>702</v>
      </c>
      <c r="C16" s="1268" t="s">
        <v>700</v>
      </c>
      <c r="D16" s="1281">
        <v>1536700</v>
      </c>
      <c r="E16" s="1281">
        <v>0</v>
      </c>
      <c r="F16" s="1281">
        <v>56014764</v>
      </c>
      <c r="G16" s="1283"/>
      <c r="H16" s="1284"/>
      <c r="I16" s="1273">
        <f t="shared" si="0"/>
        <v>57551464</v>
      </c>
      <c r="J16" s="1722"/>
    </row>
    <row r="17" spans="1:10" ht="13.5" thickBot="1">
      <c r="A17" s="1267" t="s">
        <v>408</v>
      </c>
      <c r="B17" s="1267" t="s">
        <v>703</v>
      </c>
      <c r="C17" s="1268" t="s">
        <v>700</v>
      </c>
      <c r="D17" s="1269">
        <f>1158724-1046276</f>
        <v>112448</v>
      </c>
      <c r="E17" s="1270">
        <v>1046276</v>
      </c>
      <c r="F17" s="1271">
        <v>26651697</v>
      </c>
      <c r="G17" s="1271"/>
      <c r="H17" s="1272"/>
      <c r="I17" s="1273">
        <f t="shared" si="0"/>
        <v>27810421</v>
      </c>
      <c r="J17" s="1722"/>
    </row>
    <row r="18" spans="1:10" ht="19.5" customHeight="1" thickBot="1">
      <c r="A18" s="1260" t="s">
        <v>409</v>
      </c>
      <c r="B18" s="1260" t="s">
        <v>704</v>
      </c>
      <c r="C18" s="1261"/>
      <c r="D18" s="1262">
        <f>SUM(D19:D22)</f>
        <v>10624224</v>
      </c>
      <c r="E18" s="1262">
        <f>SUM(E19:E22)</f>
        <v>21806691</v>
      </c>
      <c r="F18" s="1262">
        <f>SUM(F19:F22)</f>
        <v>111466059</v>
      </c>
      <c r="G18" s="1262">
        <f>SUM(G19:G22)</f>
        <v>2260600</v>
      </c>
      <c r="H18" s="1265">
        <f>+H19</f>
        <v>0</v>
      </c>
      <c r="I18" s="1266">
        <f t="shared" si="0"/>
        <v>146157574</v>
      </c>
      <c r="J18" s="1722"/>
    </row>
    <row r="19" spans="1:10" ht="28.5" customHeight="1">
      <c r="A19" s="1267" t="s">
        <v>410</v>
      </c>
      <c r="B19" s="1267" t="s">
        <v>705</v>
      </c>
      <c r="C19" s="1268" t="s">
        <v>700</v>
      </c>
      <c r="D19" s="1269">
        <f>3810000-1370406</f>
        <v>2439594</v>
      </c>
      <c r="E19" s="1270">
        <v>1370406</v>
      </c>
      <c r="F19" s="1270">
        <v>70228928</v>
      </c>
      <c r="G19" s="1270">
        <v>2260600</v>
      </c>
      <c r="H19" s="1272"/>
      <c r="I19" s="1273">
        <f>SUM(D19:H19)</f>
        <v>76299528</v>
      </c>
      <c r="J19" s="1722"/>
    </row>
    <row r="20" spans="1:10" ht="19.5" customHeight="1">
      <c r="A20" s="1267" t="s">
        <v>411</v>
      </c>
      <c r="B20" s="1280" t="s">
        <v>706</v>
      </c>
      <c r="C20" s="1268" t="s">
        <v>707</v>
      </c>
      <c r="D20" s="1281"/>
      <c r="E20" s="1282">
        <f>+'6.a.sz.m.fejlesztés (3)'!J32</f>
        <v>3297700</v>
      </c>
      <c r="F20" s="1282">
        <v>1905000</v>
      </c>
      <c r="G20" s="1271"/>
      <c r="H20" s="1272"/>
      <c r="I20" s="1273">
        <f>SUM(D20:H20)</f>
        <v>5202700</v>
      </c>
      <c r="J20" s="1722"/>
    </row>
    <row r="21" spans="1:10" ht="19.5" customHeight="1" thickBot="1">
      <c r="A21" s="1285" t="s">
        <v>708</v>
      </c>
      <c r="B21" s="1280" t="s">
        <v>709</v>
      </c>
      <c r="C21" s="1286" t="s">
        <v>707</v>
      </c>
      <c r="D21" s="1287">
        <f>25323215-E21</f>
        <v>8184630</v>
      </c>
      <c r="E21" s="1288">
        <v>17138585</v>
      </c>
      <c r="F21" s="1289">
        <v>8184630</v>
      </c>
      <c r="G21" s="1289"/>
      <c r="H21" s="1290"/>
      <c r="I21" s="1273">
        <f>SUM(D21:H21)</f>
        <v>33507845</v>
      </c>
      <c r="J21" s="1722"/>
    </row>
    <row r="22" spans="1:10" ht="19.5" customHeight="1" thickBot="1">
      <c r="A22" s="1291" t="s">
        <v>710</v>
      </c>
      <c r="B22" s="1292" t="s">
        <v>711</v>
      </c>
      <c r="C22" s="1293" t="s">
        <v>707</v>
      </c>
      <c r="D22" s="1294"/>
      <c r="E22" s="1295"/>
      <c r="F22" s="1296">
        <v>31147501</v>
      </c>
      <c r="G22" s="1296"/>
      <c r="H22" s="1297"/>
      <c r="I22" s="1273">
        <f>SUM(D22:H22)</f>
        <v>31147501</v>
      </c>
      <c r="J22" s="1722"/>
    </row>
    <row r="23" spans="1:10" ht="19.5" customHeight="1" thickBot="1">
      <c r="A23" s="1298" t="s">
        <v>712</v>
      </c>
      <c r="B23" s="1298" t="s">
        <v>713</v>
      </c>
      <c r="C23" s="1261"/>
      <c r="D23" s="1262">
        <f>+D25</f>
        <v>0</v>
      </c>
      <c r="E23" s="1263">
        <f>+E25</f>
        <v>0</v>
      </c>
      <c r="F23" s="1264">
        <f>+F25</f>
        <v>0</v>
      </c>
      <c r="G23" s="1264">
        <f>+G25</f>
        <v>0</v>
      </c>
      <c r="H23" s="1265">
        <f>+H25</f>
        <v>0</v>
      </c>
      <c r="I23" s="1266">
        <f t="shared" si="0"/>
        <v>0</v>
      </c>
      <c r="J23" s="1722"/>
    </row>
    <row r="24" spans="1:10" ht="26.25" customHeight="1">
      <c r="A24" s="1292" t="s">
        <v>714</v>
      </c>
      <c r="B24" s="1292" t="s">
        <v>701</v>
      </c>
      <c r="C24" s="1299" t="s">
        <v>700</v>
      </c>
      <c r="D24" s="1276"/>
      <c r="E24" s="1300">
        <v>2540000</v>
      </c>
      <c r="F24" s="1277"/>
      <c r="G24" s="1277"/>
      <c r="H24" s="1278"/>
      <c r="I24" s="1273">
        <f t="shared" si="0"/>
        <v>2540000</v>
      </c>
      <c r="J24" s="1722"/>
    </row>
    <row r="25" spans="1:10" ht="20.25" customHeight="1" thickBot="1">
      <c r="A25" s="1267" t="s">
        <v>715</v>
      </c>
      <c r="B25" s="1267" t="s">
        <v>695</v>
      </c>
      <c r="C25" s="1301"/>
      <c r="D25" s="1287"/>
      <c r="E25" s="1288"/>
      <c r="F25" s="1289"/>
      <c r="G25" s="1289"/>
      <c r="H25" s="1290"/>
      <c r="I25" s="1302">
        <f t="shared" si="0"/>
        <v>0</v>
      </c>
      <c r="J25" s="1722"/>
    </row>
    <row r="26" spans="1:10" ht="19.5" customHeight="1" thickBot="1">
      <c r="A26" s="1723" t="s">
        <v>663</v>
      </c>
      <c r="B26" s="1724"/>
      <c r="C26" s="1303"/>
      <c r="D26" s="1262">
        <f aca="true" t="shared" si="1" ref="D26:I26">+D6+D9+D12+D18+D23</f>
        <v>12273372</v>
      </c>
      <c r="E26" s="1263">
        <f t="shared" si="1"/>
        <v>22852967</v>
      </c>
      <c r="F26" s="1264">
        <f t="shared" si="1"/>
        <v>200248105</v>
      </c>
      <c r="G26" s="1264">
        <f t="shared" si="1"/>
        <v>4543714</v>
      </c>
      <c r="H26" s="1265">
        <f t="shared" si="1"/>
        <v>0</v>
      </c>
      <c r="I26" s="1266">
        <f t="shared" si="1"/>
        <v>239918158</v>
      </c>
      <c r="J26" s="1722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&amp;R20.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C12"/>
  <sheetViews>
    <sheetView workbookViewId="0" topLeftCell="A1">
      <selection activeCell="A2" sqref="A2"/>
    </sheetView>
  </sheetViews>
  <sheetFormatPr defaultColWidth="60.421875" defaultRowHeight="12.75"/>
  <cols>
    <col min="1" max="1" width="60.421875" style="1220" customWidth="1"/>
    <col min="2" max="2" width="5.57421875" style="1225" customWidth="1"/>
    <col min="3" max="3" width="11.00390625" style="1220" customWidth="1"/>
    <col min="4" max="4" width="14.8515625" style="1220" customWidth="1"/>
    <col min="5" max="255" width="10.7109375" style="1220" customWidth="1"/>
    <col min="256" max="16384" width="60.421875" style="1220" customWidth="1"/>
  </cols>
  <sheetData>
    <row r="1" spans="1:2" ht="15.75">
      <c r="A1" s="1739" t="s">
        <v>678</v>
      </c>
      <c r="B1" s="1739"/>
    </row>
    <row r="2" spans="1:2" ht="15.75">
      <c r="A2" s="1221"/>
      <c r="B2" s="1221"/>
    </row>
    <row r="3" spans="1:2" ht="15.75">
      <c r="A3" s="1221"/>
      <c r="B3" s="1221"/>
    </row>
    <row r="4" spans="1:2" ht="15.75">
      <c r="A4" s="1221"/>
      <c r="B4" s="1221"/>
    </row>
    <row r="5" spans="1:3" ht="16.5" thickBot="1">
      <c r="A5" s="1740" t="s">
        <v>488</v>
      </c>
      <c r="B5" s="1740"/>
      <c r="C5" s="1740"/>
    </row>
    <row r="6" spans="1:3" ht="28.5" customHeight="1">
      <c r="A6" s="1222" t="s">
        <v>667</v>
      </c>
      <c r="B6" s="1741" t="s">
        <v>668</v>
      </c>
      <c r="C6" s="1742"/>
    </row>
    <row r="7" spans="1:3" ht="15.75">
      <c r="A7" s="1223" t="s">
        <v>669</v>
      </c>
      <c r="B7" s="1735">
        <v>11580000</v>
      </c>
      <c r="C7" s="1736"/>
    </row>
    <row r="8" spans="1:3" ht="15.75" hidden="1">
      <c r="A8" s="1223" t="s">
        <v>670</v>
      </c>
      <c r="B8" s="1735"/>
      <c r="C8" s="1736"/>
    </row>
    <row r="9" spans="1:3" ht="15.75" hidden="1">
      <c r="A9" s="1223"/>
      <c r="B9" s="1735"/>
      <c r="C9" s="1736"/>
    </row>
    <row r="10" spans="1:3" ht="15.75" hidden="1">
      <c r="A10" s="1223"/>
      <c r="B10" s="1735"/>
      <c r="C10" s="1736"/>
    </row>
    <row r="11" spans="1:3" ht="15.75" hidden="1">
      <c r="A11" s="1223"/>
      <c r="B11" s="1735"/>
      <c r="C11" s="1736"/>
    </row>
    <row r="12" spans="1:3" ht="16.5" thickBot="1">
      <c r="A12" s="1224" t="s">
        <v>21</v>
      </c>
      <c r="B12" s="1737">
        <f>B7+B8+B9+B10+B11</f>
        <v>11580000</v>
      </c>
      <c r="C12" s="1738"/>
    </row>
  </sheetData>
  <sheetProtection selectLockedCells="1" selectUnlockedCells="1"/>
  <mergeCells count="9">
    <mergeCell ref="B10:C10"/>
    <mergeCell ref="B11:C11"/>
    <mergeCell ref="B12:C12"/>
    <mergeCell ref="A1:B1"/>
    <mergeCell ref="A5:C5"/>
    <mergeCell ref="B6:C6"/>
    <mergeCell ref="B7:C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4" r:id="rId1"/>
  <headerFooter alignWithMargins="0">
    <oddHeader>&amp;R21. számú melléklet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85" zoomScaleNormal="85" workbookViewId="0" topLeftCell="A8">
      <selection activeCell="A2" sqref="A2:K2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hidden="1" customWidth="1"/>
    <col min="4" max="4" width="20.57421875" style="13" hidden="1" customWidth="1"/>
    <col min="5" max="5" width="19.57421875" style="13" hidden="1" customWidth="1"/>
    <col min="6" max="6" width="19.421875" style="13" hidden="1" customWidth="1"/>
    <col min="7" max="9" width="18.421875" style="13" customWidth="1"/>
    <col min="10" max="10" width="43.57421875" style="13" bestFit="1" customWidth="1"/>
    <col min="11" max="11" width="21.8515625" style="13" customWidth="1"/>
    <col min="12" max="12" width="18.28125" style="13" hidden="1" customWidth="1"/>
    <col min="13" max="13" width="18.421875" style="13" hidden="1" customWidth="1"/>
    <col min="14" max="14" width="19.28125" style="13" hidden="1" customWidth="1"/>
    <col min="15" max="15" width="18.421875" style="13" hidden="1" customWidth="1"/>
    <col min="16" max="16" width="19.00390625" style="13" customWidth="1"/>
    <col min="17" max="17" width="16.28125" style="13" customWidth="1"/>
    <col min="18" max="18" width="13.140625" style="13" customWidth="1"/>
    <col min="19" max="16384" width="9.140625" style="13" customWidth="1"/>
  </cols>
  <sheetData>
    <row r="1" spans="10:15" ht="12.75">
      <c r="J1" s="1504" t="s">
        <v>1442</v>
      </c>
      <c r="K1" s="1504"/>
      <c r="L1" s="1504"/>
      <c r="M1" s="1504"/>
      <c r="N1" s="1504"/>
      <c r="O1" s="1504"/>
    </row>
    <row r="2" spans="1:11" ht="18">
      <c r="A2" s="1501" t="s">
        <v>20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</row>
    <row r="3" spans="1:11" ht="11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1" t="s">
        <v>449</v>
      </c>
    </row>
    <row r="4" spans="1:11" ht="17.25" customHeight="1" thickBot="1">
      <c r="A4" s="1502" t="s">
        <v>197</v>
      </c>
      <c r="B4" s="1503"/>
      <c r="C4" s="1503"/>
      <c r="D4" s="1503"/>
      <c r="E4" s="1503"/>
      <c r="F4" s="1503"/>
      <c r="G4" s="1503"/>
      <c r="H4" s="1503"/>
      <c r="I4" s="1503"/>
      <c r="J4" s="1502"/>
      <c r="K4" s="1503"/>
    </row>
    <row r="5" spans="1:18" ht="33" customHeight="1" thickBot="1">
      <c r="A5" s="321" t="s">
        <v>7</v>
      </c>
      <c r="B5" s="398" t="s">
        <v>230</v>
      </c>
      <c r="C5" s="399" t="s">
        <v>228</v>
      </c>
      <c r="D5" s="399" t="s">
        <v>231</v>
      </c>
      <c r="E5" s="399" t="s">
        <v>233</v>
      </c>
      <c r="F5" s="399" t="s">
        <v>246</v>
      </c>
      <c r="G5" s="400" t="s">
        <v>250</v>
      </c>
      <c r="H5" s="364" t="s">
        <v>236</v>
      </c>
      <c r="I5" s="364" t="s">
        <v>237</v>
      </c>
      <c r="J5" s="364" t="s">
        <v>8</v>
      </c>
      <c r="K5" s="398" t="s">
        <v>230</v>
      </c>
      <c r="L5" s="399" t="s">
        <v>228</v>
      </c>
      <c r="M5" s="399" t="s">
        <v>231</v>
      </c>
      <c r="N5" s="399" t="s">
        <v>233</v>
      </c>
      <c r="O5" s="399" t="s">
        <v>246</v>
      </c>
      <c r="P5" s="400" t="s">
        <v>250</v>
      </c>
      <c r="Q5" s="364" t="s">
        <v>236</v>
      </c>
      <c r="R5" s="400" t="s">
        <v>237</v>
      </c>
    </row>
    <row r="6" spans="1:18" ht="12.75">
      <c r="A6" s="323" t="s">
        <v>329</v>
      </c>
      <c r="B6" s="401">
        <f>'3.sz.m Önk  bev.'!E7</f>
        <v>171760000</v>
      </c>
      <c r="C6" s="401">
        <f>'3.sz.m Önk  bev.'!F7</f>
        <v>171760000</v>
      </c>
      <c r="D6" s="401">
        <f>'3.sz.m Önk  bev.'!G7</f>
        <v>174481890</v>
      </c>
      <c r="E6" s="401">
        <f>'3.sz.m Önk  bev.'!H7</f>
        <v>174481890</v>
      </c>
      <c r="F6" s="401">
        <f>'3.sz.m Önk  bev.'!I7</f>
        <v>174992890</v>
      </c>
      <c r="G6" s="401">
        <f>'3.sz.m Önk  bev.'!J7</f>
        <v>189188503</v>
      </c>
      <c r="H6" s="401">
        <f>'3.sz.m Önk  bev.'!K7</f>
        <v>183863379</v>
      </c>
      <c r="I6" s="1102">
        <f>+H6/G6</f>
        <v>0.9718528139101561</v>
      </c>
      <c r="J6" s="385" t="s">
        <v>174</v>
      </c>
      <c r="K6" s="414">
        <f>'4.sz.m.ÖNK kiadás'!E7+'5.1 sz. m Köz Hiv'!D35+'5.2 sz. m ÁMK'!D38+'üres lap'!D27</f>
        <v>170503539</v>
      </c>
      <c r="L6" s="414">
        <f>'4.sz.m.ÖNK kiadás'!F7+'5.1 sz. m Köz Hiv'!E35+'5.2 sz. m ÁMK'!E38+'üres lap'!E27</f>
        <v>170503539</v>
      </c>
      <c r="M6" s="414">
        <f>'4.sz.m.ÖNK kiadás'!G7+'5.1 sz. m Köz Hiv'!F35+'5.2 sz. m ÁMK'!F38+'üres lap'!F27</f>
        <v>170438359</v>
      </c>
      <c r="N6" s="414">
        <f>'4.sz.m.ÖNK kiadás'!H7+'5.1 sz. m Köz Hiv'!G35+'5.2 sz. m ÁMK'!G38+'üres lap'!G27</f>
        <v>172005287</v>
      </c>
      <c r="O6" s="414">
        <f>'4.sz.m.ÖNK kiadás'!I7+'5.1 sz. m Köz Hiv'!H35+'5.2 sz. m ÁMK'!H38+'üres lap'!H27</f>
        <v>171662469</v>
      </c>
      <c r="P6" s="414">
        <f>'4.sz.m.ÖNK kiadás'!J7+'5.1 sz. m Köz Hiv'!I35+'5.2 sz. m ÁMK'!I38+'üres lap'!I27</f>
        <v>168180559</v>
      </c>
      <c r="Q6" s="414">
        <f>'4.sz.m.ÖNK kiadás'!K7+'5.1 sz. m Köz Hiv'!J35+'5.2 sz. m ÁMK'!J38+'üres lap'!J27</f>
        <v>156130697</v>
      </c>
      <c r="R6" s="1116">
        <f aca="true" t="shared" si="0" ref="R6:R19">+Q6/P6</f>
        <v>0.9283516354586502</v>
      </c>
    </row>
    <row r="7" spans="1:18" ht="12.75">
      <c r="A7" s="324" t="s">
        <v>330</v>
      </c>
      <c r="B7" s="402">
        <f>'3.sz.m Önk  bev.'!E21+'5.1 sz. m Köz Hiv'!D9+'5.2 sz. m ÁMK'!D9</f>
        <v>52059053</v>
      </c>
      <c r="C7" s="402">
        <f>'3.sz.m Önk  bev.'!F21+'5.1 sz. m Köz Hiv'!E9+'5.2 sz. m ÁMK'!E9</f>
        <v>52124693</v>
      </c>
      <c r="D7" s="402">
        <f>'3.sz.m Önk  bev.'!G21+'5.1 sz. m Köz Hiv'!F9+'5.2 sz. m ÁMK'!F9</f>
        <v>54248868</v>
      </c>
      <c r="E7" s="402">
        <f>'3.sz.m Önk  bev.'!H21+'5.1 sz. m Köz Hiv'!G9+'5.2 sz. m ÁMK'!G9</f>
        <v>54248868</v>
      </c>
      <c r="F7" s="402">
        <f>'3.sz.m Önk  bev.'!I21+'5.1 sz. m Köz Hiv'!H9+'5.2 sz. m ÁMK'!H9</f>
        <v>56029263</v>
      </c>
      <c r="G7" s="402">
        <f>'3.sz.m Önk  bev.'!J21+'5.1 sz. m Köz Hiv'!I9+'5.2 sz. m ÁMK'!I9</f>
        <v>56177673</v>
      </c>
      <c r="H7" s="402">
        <f>'3.sz.m Önk  bev.'!K21+'5.1 sz. m Köz Hiv'!J9+'5.2 sz. m ÁMK'!J9</f>
        <v>53684153</v>
      </c>
      <c r="I7" s="1103">
        <f aca="true" t="shared" si="1" ref="I7:I32">+H7/G7</f>
        <v>0.9556136830373875</v>
      </c>
      <c r="J7" s="386" t="s">
        <v>175</v>
      </c>
      <c r="K7" s="402">
        <f>'4.sz.m.ÖNK kiadás'!E8+'5.1 sz. m Köz Hiv'!D36+'5.2 sz. m ÁMK'!D39+'üres lap'!D28</f>
        <v>38651471</v>
      </c>
      <c r="L7" s="402">
        <f>'4.sz.m.ÖNK kiadás'!F8+'5.1 sz. m Köz Hiv'!E36+'5.2 sz. m ÁMK'!E39+'üres lap'!E28</f>
        <v>38651471</v>
      </c>
      <c r="M7" s="402">
        <f>'4.sz.m.ÖNK kiadás'!G8+'5.1 sz. m Köz Hiv'!F36+'5.2 sz. m ÁMK'!F39+'üres lap'!F28</f>
        <v>38651471</v>
      </c>
      <c r="N7" s="402">
        <f>'4.sz.m.ÖNK kiadás'!H8+'5.1 sz. m Köz Hiv'!G36+'5.2 sz. m ÁMK'!G39+'üres lap'!G28</f>
        <v>39074543</v>
      </c>
      <c r="O7" s="402">
        <f>'4.sz.m.ÖNK kiadás'!I8+'5.1 sz. m Köz Hiv'!H36+'5.2 sz. m ÁMK'!H39+'üres lap'!H28</f>
        <v>39055796</v>
      </c>
      <c r="P7" s="402">
        <f>'4.sz.m.ÖNK kiadás'!J8+'5.1 sz. m Köz Hiv'!I36+'5.2 sz. m ÁMK'!I39+'üres lap'!I28</f>
        <v>38438022</v>
      </c>
      <c r="Q7" s="402">
        <f>'4.sz.m.ÖNK kiadás'!K8+'5.1 sz. m Köz Hiv'!J36+'5.2 sz. m ÁMK'!J39+'üres lap'!J28</f>
        <v>34678953</v>
      </c>
      <c r="R7" s="1103">
        <f t="shared" si="0"/>
        <v>0.9022044110386326</v>
      </c>
    </row>
    <row r="8" spans="1:18" ht="25.5">
      <c r="A8" s="324" t="s">
        <v>331</v>
      </c>
      <c r="B8" s="402">
        <f>'3.sz.m Önk  bev.'!E32+'5.1 sz. m Köz Hiv'!D15+'5.2 sz. m ÁMK'!D18</f>
        <v>255822270</v>
      </c>
      <c r="C8" s="402">
        <f>'3.sz.m Önk  bev.'!F32+'5.1 sz. m Köz Hiv'!E15+'5.2 sz. m ÁMK'!E18</f>
        <v>255822270</v>
      </c>
      <c r="D8" s="402">
        <f>'3.sz.m Önk  bev.'!G32+'5.1 sz. m Köz Hiv'!F15+'5.2 sz. m ÁMK'!F18</f>
        <v>255822270</v>
      </c>
      <c r="E8" s="402">
        <f>'3.sz.m Önk  bev.'!H32+'5.1 sz. m Köz Hiv'!G15+'5.2 sz. m ÁMK'!G18</f>
        <v>264508418</v>
      </c>
      <c r="F8" s="402">
        <f>'3.sz.m Önk  bev.'!I32+'5.1 sz. m Köz Hiv'!H15+'5.2 sz. m ÁMK'!H18</f>
        <v>276651755</v>
      </c>
      <c r="G8" s="402">
        <f>'3.sz.m Önk  bev.'!J32+'5.1 sz. m Köz Hiv'!I15+'5.2 sz. m ÁMK'!I18</f>
        <v>280919250</v>
      </c>
      <c r="H8" s="402">
        <f>'3.sz.m Önk  bev.'!K32+'5.1 sz. m Köz Hiv'!J15+'5.2 sz. m ÁMK'!J18</f>
        <v>280919250</v>
      </c>
      <c r="I8" s="1103">
        <f t="shared" si="1"/>
        <v>1</v>
      </c>
      <c r="J8" s="386" t="s">
        <v>176</v>
      </c>
      <c r="K8" s="402">
        <f>'4.sz.m.ÖNK kiadás'!E9+'5.1 sz. m Köz Hiv'!D37+'5.2 sz. m ÁMK'!D40+'üres lap'!D29</f>
        <v>127616672</v>
      </c>
      <c r="L8" s="402">
        <f>'4.sz.m.ÖNK kiadás'!F9+'5.1 sz. m Köz Hiv'!E37+'5.2 sz. m ÁMK'!E40+'üres lap'!E29</f>
        <v>127773672</v>
      </c>
      <c r="M8" s="402">
        <f>'4.sz.m.ÖNK kiadás'!G9+'5.1 sz. m Köz Hiv'!F37+'5.2 sz. m ÁMK'!F40+'üres lap'!F29</f>
        <v>131946331</v>
      </c>
      <c r="N8" s="402">
        <f>'4.sz.m.ÖNK kiadás'!H9+'5.1 sz. m Köz Hiv'!G37+'5.2 sz. m ÁMK'!G40+'üres lap'!G29</f>
        <v>138295631</v>
      </c>
      <c r="O8" s="402">
        <f>'4.sz.m.ÖNK kiadás'!I9+'5.1 sz. m Köz Hiv'!H37+'5.2 sz. m ÁMK'!H40+'üres lap'!H29</f>
        <v>142431820</v>
      </c>
      <c r="P8" s="402">
        <f>'4.sz.m.ÖNK kiadás'!J9+'5.1 sz. m Köz Hiv'!I37+'5.2 sz. m ÁMK'!I40+'üres lap'!I29</f>
        <v>207090050</v>
      </c>
      <c r="Q8" s="402">
        <f>'4.sz.m.ÖNK kiadás'!K9+'5.1 sz. m Köz Hiv'!J37+'5.2 sz. m ÁMK'!J40+'üres lap'!J29</f>
        <v>101512985</v>
      </c>
      <c r="R8" s="1103">
        <f t="shared" si="0"/>
        <v>0.4901876502516659</v>
      </c>
    </row>
    <row r="9" spans="1:18" ht="12.75">
      <c r="A9" s="324" t="s">
        <v>332</v>
      </c>
      <c r="B9" s="402">
        <f>'3.sz.m Önk  bev.'!E50+'5.1 sz. m Köz Hiv'!D21+'5.2 sz. m ÁMK'!D24</f>
        <v>0</v>
      </c>
      <c r="C9" s="402">
        <f>'3.sz.m Önk  bev.'!F50+'5.1 sz. m Köz Hiv'!E21+'5.2 sz. m ÁMK'!E24</f>
        <v>0</v>
      </c>
      <c r="D9" s="402">
        <f>'3.sz.m Önk  bev.'!G50+'5.1 sz. m Köz Hiv'!F21+'5.2 sz. m ÁMK'!F24</f>
        <v>368000</v>
      </c>
      <c r="E9" s="402">
        <f>'3.sz.m Önk  bev.'!H50+'5.1 sz. m Köz Hiv'!G21+'5.2 sz. m ÁMK'!G24</f>
        <v>368000</v>
      </c>
      <c r="F9" s="402">
        <f>'3.sz.m Önk  bev.'!I50+'5.1 sz. m Köz Hiv'!H21+'5.2 sz. m ÁMK'!H24</f>
        <v>368000</v>
      </c>
      <c r="G9" s="402">
        <f>'3.sz.m Önk  bev.'!J50+'5.1 sz. m Köz Hiv'!I21+'5.2 sz. m ÁMK'!I24</f>
        <v>368000</v>
      </c>
      <c r="H9" s="402">
        <f>'3.sz.m Önk  bev.'!K50+'5.1 sz. m Köz Hiv'!J21+'5.2 sz. m ÁMK'!J24</f>
        <v>368000</v>
      </c>
      <c r="I9" s="1103">
        <f t="shared" si="1"/>
        <v>1</v>
      </c>
      <c r="J9" s="386" t="s">
        <v>177</v>
      </c>
      <c r="K9" s="415">
        <f>'4.sz.m.ÖNK kiadás'!E10+'5.1 sz. m Köz Hiv'!D38+'5.2 sz. m ÁMK'!D41+'üres lap'!D30</f>
        <v>3025952</v>
      </c>
      <c r="L9" s="415">
        <f>'4.sz.m.ÖNK kiadás'!F10+'5.1 sz. m Köz Hiv'!E38+'5.2 sz. m ÁMK'!E41+'üres lap'!E30</f>
        <v>3025952</v>
      </c>
      <c r="M9" s="415">
        <f>'4.sz.m.ÖNK kiadás'!G10+'5.1 sz. m Köz Hiv'!F38+'5.2 sz. m ÁMK'!F41+'üres lap'!F30</f>
        <v>3025952</v>
      </c>
      <c r="N9" s="415">
        <f>'4.sz.m.ÖNK kiadás'!H10+'5.1 sz. m Köz Hiv'!G38+'5.2 sz. m ÁMK'!G41+'üres lap'!G30</f>
        <v>3025952</v>
      </c>
      <c r="O9" s="415">
        <f>'4.sz.m.ÖNK kiadás'!I10+'5.1 sz. m Köz Hiv'!H38+'5.2 sz. m ÁMK'!H41+'üres lap'!H30</f>
        <v>3236952</v>
      </c>
      <c r="P9" s="415">
        <f>'4.sz.m.ÖNK kiadás'!J10+'5.1 sz. m Köz Hiv'!I38+'5.2 sz. m ÁMK'!I41+'üres lap'!I30</f>
        <v>2642000</v>
      </c>
      <c r="Q9" s="415">
        <f>'4.sz.m.ÖNK kiadás'!K10+'5.1 sz. m Köz Hiv'!J38+'5.2 sz. m ÁMK'!J41+'üres lap'!J30</f>
        <v>1808438</v>
      </c>
      <c r="R9" s="1119">
        <f t="shared" si="0"/>
        <v>0.6844958364875094</v>
      </c>
    </row>
    <row r="10" spans="1:18" ht="12.75">
      <c r="A10" s="324"/>
      <c r="B10" s="402"/>
      <c r="C10" s="402"/>
      <c r="D10" s="402"/>
      <c r="E10" s="402"/>
      <c r="F10" s="402"/>
      <c r="G10" s="402"/>
      <c r="H10" s="402"/>
      <c r="I10" s="1103"/>
      <c r="J10" s="387" t="s">
        <v>178</v>
      </c>
      <c r="K10" s="402">
        <f>'4.sz.m.ÖNK kiadás'!E11+'5.1 sz. m Köz Hiv'!D39+'5.2 sz. m ÁMK'!D42+'üres lap'!D31</f>
        <v>131028545</v>
      </c>
      <c r="L10" s="402">
        <f>'4.sz.m.ÖNK kiadás'!F11+'5.1 sz. m Köz Hiv'!E39+'5.2 sz. m ÁMK'!E42+'üres lap'!E31</f>
        <v>133095907</v>
      </c>
      <c r="M10" s="402">
        <f>'4.sz.m.ÖNK kiadás'!G11+'5.1 sz. m Köz Hiv'!F39+'5.2 sz. m ÁMK'!F42+'üres lap'!F31</f>
        <v>132940647</v>
      </c>
      <c r="N10" s="402">
        <f>'4.sz.m.ÖNK kiadás'!H11+'5.1 sz. m Köz Hiv'!G39+'5.2 sz. m ÁMK'!G42+'üres lap'!G31</f>
        <v>132940647</v>
      </c>
      <c r="O10" s="402">
        <f>'4.sz.m.ÖNK kiadás'!I11+'5.1 sz. m Köz Hiv'!H39+'5.2 sz. m ÁMK'!H42+'üres lap'!H31</f>
        <v>136767004</v>
      </c>
      <c r="P10" s="402">
        <f>'4.sz.m.ÖNK kiadás'!J11+'5.1 sz. m Köz Hiv'!I39+'5.2 sz. m ÁMK'!I42+'üres lap'!I31</f>
        <v>152734208</v>
      </c>
      <c r="Q10" s="402">
        <f>'4.sz.m.ÖNK kiadás'!K11+'5.1 sz. m Köz Hiv'!J39+'5.2 sz. m ÁMK'!J42+'üres lap'!J31</f>
        <v>149710908</v>
      </c>
      <c r="R10" s="1103">
        <f t="shared" si="0"/>
        <v>0.980205482192961</v>
      </c>
    </row>
    <row r="11" spans="1:18" ht="12.75">
      <c r="A11" s="324"/>
      <c r="B11" s="402"/>
      <c r="C11" s="402"/>
      <c r="D11" s="402"/>
      <c r="E11" s="402"/>
      <c r="F11" s="402"/>
      <c r="G11" s="402"/>
      <c r="H11" s="402"/>
      <c r="I11" s="1103"/>
      <c r="J11" s="386" t="s">
        <v>179</v>
      </c>
      <c r="K11" s="415">
        <f>'4.sz.m.ÖNK kiadás'!E25</f>
        <v>77908803</v>
      </c>
      <c r="L11" s="415">
        <f>'4.sz.m.ÖNK kiadás'!F25</f>
        <v>75176682</v>
      </c>
      <c r="M11" s="415">
        <f>'4.sz.m.ÖNK kiadás'!G25</f>
        <v>54733454</v>
      </c>
      <c r="N11" s="415">
        <f>'4.sz.m.ÖNK kiadás'!H25-N24</f>
        <v>60420179</v>
      </c>
      <c r="O11" s="415">
        <f>'4.sz.m.ÖNK kiadás'!I25</f>
        <v>57410165</v>
      </c>
      <c r="P11" s="415">
        <f>'4.sz.m.ÖNK kiadás'!J25</f>
        <v>0</v>
      </c>
      <c r="Q11" s="415">
        <f>'4.sz.m.ÖNK kiadás'!K25</f>
        <v>0</v>
      </c>
      <c r="R11" s="1119"/>
    </row>
    <row r="12" spans="1:18" ht="12.75" hidden="1">
      <c r="A12" s="325"/>
      <c r="B12" s="403"/>
      <c r="C12" s="403"/>
      <c r="D12" s="403"/>
      <c r="E12" s="403"/>
      <c r="F12" s="403"/>
      <c r="G12" s="403"/>
      <c r="H12" s="403"/>
      <c r="I12" s="1104" t="e">
        <f t="shared" si="1"/>
        <v>#DIV/0!</v>
      </c>
      <c r="J12" s="388"/>
      <c r="K12" s="403"/>
      <c r="L12" s="403"/>
      <c r="M12" s="403"/>
      <c r="N12" s="403"/>
      <c r="O12" s="403"/>
      <c r="P12" s="403"/>
      <c r="Q12" s="403"/>
      <c r="R12" s="1104" t="e">
        <f t="shared" si="0"/>
        <v>#DIV/0!</v>
      </c>
    </row>
    <row r="13" spans="1:18" ht="16.5" customHeight="1" hidden="1" thickBot="1">
      <c r="A13" s="326"/>
      <c r="B13" s="404"/>
      <c r="C13" s="404"/>
      <c r="D13" s="404"/>
      <c r="E13" s="404"/>
      <c r="F13" s="404"/>
      <c r="G13" s="404"/>
      <c r="H13" s="404"/>
      <c r="I13" s="1105" t="e">
        <f t="shared" si="1"/>
        <v>#DIV/0!</v>
      </c>
      <c r="J13" s="389"/>
      <c r="K13" s="404"/>
      <c r="L13" s="404"/>
      <c r="M13" s="404"/>
      <c r="N13" s="404"/>
      <c r="O13" s="404"/>
      <c r="P13" s="404"/>
      <c r="Q13" s="404"/>
      <c r="R13" s="1105" t="e">
        <f t="shared" si="0"/>
        <v>#DIV/0!</v>
      </c>
    </row>
    <row r="14" spans="1:18" ht="24" customHeight="1" thickBot="1">
      <c r="A14" s="327" t="s">
        <v>181</v>
      </c>
      <c r="B14" s="405">
        <f aca="true" t="shared" si="2" ref="B14:G14">SUM(B6:B9)</f>
        <v>479641323</v>
      </c>
      <c r="C14" s="405">
        <f t="shared" si="2"/>
        <v>479706963</v>
      </c>
      <c r="D14" s="405">
        <f t="shared" si="2"/>
        <v>484921028</v>
      </c>
      <c r="E14" s="405">
        <f t="shared" si="2"/>
        <v>493607176</v>
      </c>
      <c r="F14" s="405">
        <f t="shared" si="2"/>
        <v>508041908</v>
      </c>
      <c r="G14" s="405">
        <f t="shared" si="2"/>
        <v>526653426</v>
      </c>
      <c r="H14" s="405">
        <f>SUM(H6:H9)</f>
        <v>518834782</v>
      </c>
      <c r="I14" s="1106">
        <f t="shared" si="1"/>
        <v>0.9851541001842833</v>
      </c>
      <c r="J14" s="580" t="s">
        <v>182</v>
      </c>
      <c r="K14" s="405">
        <f aca="true" t="shared" si="3" ref="K14:P14">SUM(K6:K13)</f>
        <v>548734982</v>
      </c>
      <c r="L14" s="405">
        <f t="shared" si="3"/>
        <v>548227223</v>
      </c>
      <c r="M14" s="405">
        <f t="shared" si="3"/>
        <v>531736214</v>
      </c>
      <c r="N14" s="405">
        <f t="shared" si="3"/>
        <v>545762239</v>
      </c>
      <c r="O14" s="405">
        <f t="shared" si="3"/>
        <v>550564206</v>
      </c>
      <c r="P14" s="405">
        <f t="shared" si="3"/>
        <v>569084839</v>
      </c>
      <c r="Q14" s="405">
        <f>SUM(Q6:Q13)</f>
        <v>443841981</v>
      </c>
      <c r="R14" s="1106">
        <f t="shared" si="0"/>
        <v>0.7799223430023585</v>
      </c>
    </row>
    <row r="15" spans="1:18" ht="18.75" customHeight="1">
      <c r="A15" s="328" t="s">
        <v>462</v>
      </c>
      <c r="B15" s="322">
        <f>'3.sz.m Önk  bev.'!E59+'5.1 sz. m Köz Hiv'!D26+'5.2 sz. m ÁMK'!D29-B27</f>
        <v>77946078</v>
      </c>
      <c r="C15" s="322">
        <f>'3.sz.m Önk  bev.'!F59+'5.1 sz. m Köz Hiv'!E26+'5.2 sz. m ÁMK'!E29-C27</f>
        <v>77372679</v>
      </c>
      <c r="D15" s="322">
        <f>'3.sz.m Önk  bev.'!G59+'5.1 sz. m Köz Hiv'!F26+'5.2 sz. m ÁMK'!F29-D27</f>
        <v>55667605</v>
      </c>
      <c r="E15" s="322">
        <f>'3.sz.m Önk  bev.'!H59+'5.1 sz. m Köz Hiv'!G26+'5.2 sz. m ÁMK'!G29-E27</f>
        <v>61007482</v>
      </c>
      <c r="F15" s="322">
        <f>'3.sz.m Önk  bev.'!I59+'5.1 sz. m Köz Hiv'!H26+'5.2 sz. m ÁMK'!H29-F27</f>
        <v>51374717</v>
      </c>
      <c r="G15" s="322">
        <f>'3.sz.m Önk  bev.'!J59+'5.1 sz. m Köz Hiv'!I26+'5.2 sz. m ÁMK'!I29-G27</f>
        <v>41519452</v>
      </c>
      <c r="H15" s="322">
        <f>'3.sz.m Önk  bev.'!K59+'5.1 sz. m Köz Hiv'!J26+'5.2 sz. m ÁMK'!J29-H27</f>
        <v>41519452</v>
      </c>
      <c r="I15" s="1107">
        <f t="shared" si="1"/>
        <v>1</v>
      </c>
      <c r="J15" s="385" t="s">
        <v>468</v>
      </c>
      <c r="K15" s="401">
        <f>'4.sz.m.ÖNK kiadás'!E34</f>
        <v>29500000</v>
      </c>
      <c r="L15" s="401">
        <f>'4.sz.m.ÖNK kiadás'!F34</f>
        <v>29500000</v>
      </c>
      <c r="M15" s="401">
        <f>'4.sz.m.ÖNK kiadás'!G34</f>
        <v>29500000</v>
      </c>
      <c r="N15" s="401">
        <f>'4.sz.m.ÖNK kiadás'!H34</f>
        <v>29500000</v>
      </c>
      <c r="O15" s="401">
        <f>'4.sz.m.ÖNK kiadás'!I34</f>
        <v>29500000</v>
      </c>
      <c r="P15" s="401">
        <f>'4.sz.m.ÖNK kiadás'!J34</f>
        <v>29500000</v>
      </c>
      <c r="Q15" s="401">
        <f>'4.sz.m.ÖNK kiadás'!K34</f>
        <v>29500000</v>
      </c>
      <c r="R15" s="1102">
        <f t="shared" si="0"/>
        <v>1</v>
      </c>
    </row>
    <row r="16" spans="1:18" ht="18.75" customHeight="1">
      <c r="A16" s="328" t="s">
        <v>540</v>
      </c>
      <c r="B16" s="897">
        <f>'3.sz.m Önk  bev.'!E58</f>
        <v>28770000</v>
      </c>
      <c r="C16" s="897">
        <f>'3.sz.m Önk  bev.'!F58</f>
        <v>28770000</v>
      </c>
      <c r="D16" s="897">
        <f>'3.sz.m Önk  bev.'!G58</f>
        <v>28770000</v>
      </c>
      <c r="E16" s="897">
        <f>'3.sz.m Önk  bev.'!H58</f>
        <v>28770000</v>
      </c>
      <c r="F16" s="897">
        <f>'3.sz.m Önk  bev.'!I58</f>
        <v>28770000</v>
      </c>
      <c r="G16" s="897">
        <f>'3.sz.m Önk  bev.'!J58</f>
        <v>28770000</v>
      </c>
      <c r="H16" s="897">
        <f>'3.sz.m Önk  bev.'!K58</f>
        <v>28770000</v>
      </c>
      <c r="I16" s="1108">
        <f t="shared" si="1"/>
        <v>1</v>
      </c>
      <c r="J16" s="388" t="s">
        <v>429</v>
      </c>
      <c r="K16" s="403">
        <f>'4.sz.m.ÖNK kiadás'!E36</f>
        <v>8122419</v>
      </c>
      <c r="L16" s="403">
        <f>'4.sz.m.ÖNK kiadás'!F36</f>
        <v>8122419</v>
      </c>
      <c r="M16" s="403">
        <f>'4.sz.m.ÖNK kiadás'!G36</f>
        <v>8122419</v>
      </c>
      <c r="N16" s="403">
        <f>'4.sz.m.ÖNK kiadás'!H36</f>
        <v>8122419</v>
      </c>
      <c r="O16" s="403">
        <f>'4.sz.m.ÖNK kiadás'!I36</f>
        <v>8122419</v>
      </c>
      <c r="P16" s="403">
        <f>'4.sz.m.ÖNK kiadás'!J36</f>
        <v>8122419</v>
      </c>
      <c r="Q16" s="403">
        <f>'4.sz.m.ÖNK kiadás'!K36</f>
        <v>8122419</v>
      </c>
      <c r="R16" s="1104">
        <f t="shared" si="0"/>
        <v>1</v>
      </c>
    </row>
    <row r="17" spans="1:18" ht="15" customHeight="1" thickBot="1">
      <c r="A17" s="329" t="s">
        <v>446</v>
      </c>
      <c r="B17" s="406"/>
      <c r="C17" s="406"/>
      <c r="D17" s="406"/>
      <c r="E17" s="406"/>
      <c r="F17" s="406"/>
      <c r="G17" s="406">
        <f>'3.sz.m Önk  bev.'!J57</f>
        <v>9764380</v>
      </c>
      <c r="H17" s="406">
        <f>'3.sz.m Önk  bev.'!K57</f>
        <v>9764380</v>
      </c>
      <c r="I17" s="1109">
        <f t="shared" si="1"/>
        <v>1</v>
      </c>
      <c r="J17" s="388"/>
      <c r="K17" s="403"/>
      <c r="L17" s="403"/>
      <c r="M17" s="403"/>
      <c r="N17" s="403"/>
      <c r="O17" s="403"/>
      <c r="P17" s="403"/>
      <c r="Q17" s="403"/>
      <c r="R17" s="1104"/>
    </row>
    <row r="18" spans="1:18" ht="25.5" customHeight="1" thickBot="1">
      <c r="A18" s="330" t="s">
        <v>186</v>
      </c>
      <c r="B18" s="407">
        <f aca="true" t="shared" si="4" ref="B18:G18">SUM(B15:B17)</f>
        <v>106716078</v>
      </c>
      <c r="C18" s="407">
        <f t="shared" si="4"/>
        <v>106142679</v>
      </c>
      <c r="D18" s="407">
        <f t="shared" si="4"/>
        <v>84437605</v>
      </c>
      <c r="E18" s="407">
        <f t="shared" si="4"/>
        <v>89777482</v>
      </c>
      <c r="F18" s="407">
        <f t="shared" si="4"/>
        <v>80144717</v>
      </c>
      <c r="G18" s="407">
        <f t="shared" si="4"/>
        <v>80053832</v>
      </c>
      <c r="H18" s="407">
        <f>SUM(H15:H17)</f>
        <v>80053832</v>
      </c>
      <c r="I18" s="1110">
        <f t="shared" si="1"/>
        <v>1</v>
      </c>
      <c r="J18" s="390" t="s">
        <v>193</v>
      </c>
      <c r="K18" s="407">
        <f aca="true" t="shared" si="5" ref="K18:P18">SUM(K15:K17)</f>
        <v>37622419</v>
      </c>
      <c r="L18" s="407">
        <f t="shared" si="5"/>
        <v>37622419</v>
      </c>
      <c r="M18" s="407">
        <f t="shared" si="5"/>
        <v>37622419</v>
      </c>
      <c r="N18" s="407">
        <f t="shared" si="5"/>
        <v>37622419</v>
      </c>
      <c r="O18" s="407">
        <f t="shared" si="5"/>
        <v>37622419</v>
      </c>
      <c r="P18" s="407">
        <f t="shared" si="5"/>
        <v>37622419</v>
      </c>
      <c r="Q18" s="407">
        <f>SUM(Q15:Q17)</f>
        <v>37622419</v>
      </c>
      <c r="R18" s="1110">
        <f t="shared" si="0"/>
        <v>1</v>
      </c>
    </row>
    <row r="19" spans="1:18" ht="22.5" customHeight="1" thickBot="1">
      <c r="A19" s="331" t="s">
        <v>167</v>
      </c>
      <c r="B19" s="408">
        <f aca="true" t="shared" si="6" ref="B19:G19">B14+B18</f>
        <v>586357401</v>
      </c>
      <c r="C19" s="408">
        <f t="shared" si="6"/>
        <v>585849642</v>
      </c>
      <c r="D19" s="408">
        <f t="shared" si="6"/>
        <v>569358633</v>
      </c>
      <c r="E19" s="408">
        <f t="shared" si="6"/>
        <v>583384658</v>
      </c>
      <c r="F19" s="408">
        <f t="shared" si="6"/>
        <v>588186625</v>
      </c>
      <c r="G19" s="408">
        <f t="shared" si="6"/>
        <v>606707258</v>
      </c>
      <c r="H19" s="408">
        <f>H14+H18</f>
        <v>598888614</v>
      </c>
      <c r="I19" s="1111">
        <f t="shared" si="1"/>
        <v>0.987112987529152</v>
      </c>
      <c r="J19" s="391" t="s">
        <v>168</v>
      </c>
      <c r="K19" s="408">
        <f aca="true" t="shared" si="7" ref="K19:P19">K14+K18</f>
        <v>586357401</v>
      </c>
      <c r="L19" s="408">
        <f t="shared" si="7"/>
        <v>585849642</v>
      </c>
      <c r="M19" s="408">
        <f t="shared" si="7"/>
        <v>569358633</v>
      </c>
      <c r="N19" s="408">
        <f t="shared" si="7"/>
        <v>583384658</v>
      </c>
      <c r="O19" s="408">
        <f t="shared" si="7"/>
        <v>588186625</v>
      </c>
      <c r="P19" s="408">
        <f t="shared" si="7"/>
        <v>606707258</v>
      </c>
      <c r="Q19" s="408">
        <f>Q14+Q18</f>
        <v>481464400</v>
      </c>
      <c r="R19" s="1111">
        <f t="shared" si="0"/>
        <v>0.7935695405839368</v>
      </c>
    </row>
    <row r="20" spans="1:13" ht="22.5" customHeight="1" thickBot="1">
      <c r="A20" s="1502" t="s">
        <v>198</v>
      </c>
      <c r="B20" s="1503"/>
      <c r="C20" s="1503"/>
      <c r="D20" s="1503"/>
      <c r="E20" s="1503"/>
      <c r="F20" s="1503"/>
      <c r="G20" s="1503"/>
      <c r="H20" s="1503"/>
      <c r="I20" s="1503"/>
      <c r="J20" s="1502"/>
      <c r="K20" s="1503"/>
      <c r="L20" s="28"/>
      <c r="M20" s="28"/>
    </row>
    <row r="21" spans="1:18" ht="25.5">
      <c r="A21" s="323" t="s">
        <v>169</v>
      </c>
      <c r="B21" s="409">
        <f>'3.sz.m Önk  bev.'!E42</f>
        <v>40000000</v>
      </c>
      <c r="C21" s="409">
        <f>'3.sz.m Önk  bev.'!F42</f>
        <v>40000000</v>
      </c>
      <c r="D21" s="409">
        <f>'3.sz.m Önk  bev.'!G42</f>
        <v>40000000</v>
      </c>
      <c r="E21" s="409">
        <f>'3.sz.m Önk  bev.'!H41+'5.1 sz. m Köz Hiv'!G18+'5.2 sz. m ÁMK'!G21</f>
        <v>208644474</v>
      </c>
      <c r="F21" s="409">
        <f>'3.sz.m Önk  bev.'!I41+'5.1 sz. m Köz Hiv'!H18+'5.2 sz. m ÁMK'!H21</f>
        <v>204800474</v>
      </c>
      <c r="G21" s="409">
        <f>'3.sz.m Önk  bev.'!J41+'5.1 sz. m Köz Hiv'!I18+'5.2 sz. m ÁMK'!I21</f>
        <v>205085474</v>
      </c>
      <c r="H21" s="409">
        <f>'3.sz.m Önk  bev.'!K41+'5.1 sz. m Köz Hiv'!J18+'5.2 sz. m ÁMK'!J21</f>
        <v>205085474</v>
      </c>
      <c r="I21" s="1112">
        <f t="shared" si="1"/>
        <v>1</v>
      </c>
      <c r="J21" s="392" t="s">
        <v>171</v>
      </c>
      <c r="K21" s="414">
        <f>'4.sz.m.ÖNK kiadás'!E18+'5.1 sz. m Köz Hiv'!D41+'5.2 sz. m ÁMK'!D44</f>
        <v>12165042</v>
      </c>
      <c r="L21" s="414">
        <f>'4.sz.m.ÖNK kiadás'!F18+'5.1 sz. m Köz Hiv'!E41+'5.2 sz. m ÁMK'!E44</f>
        <v>12672801</v>
      </c>
      <c r="M21" s="414">
        <f>'4.sz.m.ÖNK kiadás'!G18+'5.1 sz. m Köz Hiv'!F41+'5.2 sz. m ÁMK'!F44</f>
        <v>13322601</v>
      </c>
      <c r="N21" s="414">
        <f>'4.sz.m.ÖNK kiadás'!H18+'5.1 sz. m Köz Hiv'!G41+'5.2 sz. m ÁMK'!G44</f>
        <v>99128123</v>
      </c>
      <c r="O21" s="414">
        <f>'4.sz.m.ÖNK kiadás'!I18+'5.1 sz. m Köz Hiv'!H41+'5.2 sz. m ÁMK'!H44</f>
        <v>99293593</v>
      </c>
      <c r="P21" s="414">
        <f>'4.sz.m.ÖNK kiadás'!J18+'5.1 sz. m Köz Hiv'!I41+'5.2 sz. m ÁMK'!I44</f>
        <v>99177577</v>
      </c>
      <c r="Q21" s="414">
        <f>'4.sz.m.ÖNK kiadás'!K18+'5.1 sz. m Köz Hiv'!J41+'5.2 sz. m ÁMK'!J44</f>
        <v>10360242</v>
      </c>
      <c r="R21" s="1116">
        <f aca="true" t="shared" si="8" ref="R21:R32">+Q21/P21</f>
        <v>0.10446153569571477</v>
      </c>
    </row>
    <row r="22" spans="1:18" ht="25.5">
      <c r="A22" s="324" t="s">
        <v>470</v>
      </c>
      <c r="B22" s="402">
        <v>0</v>
      </c>
      <c r="C22" s="402">
        <v>0</v>
      </c>
      <c r="D22" s="402">
        <f>'3.sz.m Önk  bev.'!G51</f>
        <v>200000</v>
      </c>
      <c r="E22" s="402">
        <f>'3.sz.m Önk  bev.'!H51</f>
        <v>200000</v>
      </c>
      <c r="F22" s="402">
        <f>'3.sz.m Önk  bev.'!I51</f>
        <v>200000</v>
      </c>
      <c r="G22" s="402">
        <f>'3.sz.m Önk  bev.'!J51</f>
        <v>200000</v>
      </c>
      <c r="H22" s="402">
        <f>'3.sz.m Önk  bev.'!K51</f>
        <v>200000</v>
      </c>
      <c r="I22" s="1103">
        <f t="shared" si="1"/>
        <v>1</v>
      </c>
      <c r="J22" s="386" t="s">
        <v>172</v>
      </c>
      <c r="K22" s="402">
        <f>'4.sz.m.ÖNK kiadás'!E19</f>
        <v>94635000</v>
      </c>
      <c r="L22" s="402">
        <f>'4.sz.m.ÖNK kiadás'!F19</f>
        <v>94635000</v>
      </c>
      <c r="M22" s="402">
        <f>'4.sz.m.ÖNK kiadás'!G19</f>
        <v>115970274</v>
      </c>
      <c r="N22" s="402">
        <f>'4.sz.m.ÖNK kiadás'!H19+'5.2 sz. m ÁMK'!G46</f>
        <v>190355444</v>
      </c>
      <c r="O22" s="402">
        <f>'4.sz.m.ÖNK kiadás'!I19+'5.2 sz. m ÁMK'!H46</f>
        <v>197222644</v>
      </c>
      <c r="P22" s="402">
        <f>'4.sz.m.ÖNK kiadás'!J19+'5.2 sz. m ÁMK'!I46</f>
        <v>206085925</v>
      </c>
      <c r="Q22" s="402">
        <f>'4.sz.m.ÖNK kiadás'!K19+'5.2 sz. m ÁMK'!J46</f>
        <v>88902078</v>
      </c>
      <c r="R22" s="1103">
        <f t="shared" si="8"/>
        <v>0.43138355033222187</v>
      </c>
    </row>
    <row r="23" spans="1:18" ht="12.75">
      <c r="A23" s="324" t="s">
        <v>170</v>
      </c>
      <c r="B23" s="402">
        <f>'3.sz.m Önk  bev.'!E53</f>
        <v>33000000</v>
      </c>
      <c r="C23" s="402">
        <f>'3.sz.m Önk  bev.'!F53</f>
        <v>33000000</v>
      </c>
      <c r="D23" s="402">
        <f>'3.sz.m Önk  bev.'!G53</f>
        <v>33080000</v>
      </c>
      <c r="E23" s="402">
        <f>'3.sz.m Önk  bev.'!H52</f>
        <v>33080000</v>
      </c>
      <c r="F23" s="402">
        <f>'3.sz.m Önk  bev.'!I52</f>
        <v>33080000</v>
      </c>
      <c r="G23" s="402">
        <f>'3.sz.m Önk  bev.'!J52</f>
        <v>31687000</v>
      </c>
      <c r="H23" s="402">
        <f>'3.sz.m Önk  bev.'!K52</f>
        <v>31687000</v>
      </c>
      <c r="I23" s="1103">
        <f t="shared" si="1"/>
        <v>1</v>
      </c>
      <c r="J23" s="386" t="s">
        <v>173</v>
      </c>
      <c r="K23" s="402">
        <f>'4.sz.m.ÖNK kiadás'!E20</f>
        <v>3000000</v>
      </c>
      <c r="L23" s="402">
        <f>'4.sz.m.ÖNK kiadás'!F20</f>
        <v>3000000</v>
      </c>
      <c r="M23" s="402">
        <f>'4.sz.m.ÖNK kiadás'!G20</f>
        <v>3000000</v>
      </c>
      <c r="N23" s="402">
        <f>'4.sz.m.ÖNK kiadás'!H20</f>
        <v>3000000</v>
      </c>
      <c r="O23" s="402">
        <f>'4.sz.m.ÖNK kiadás'!I20</f>
        <v>4870000</v>
      </c>
      <c r="P23" s="402">
        <f>'4.sz.m.ÖNK kiadás'!J20</f>
        <v>4870000</v>
      </c>
      <c r="Q23" s="402">
        <f>'4.sz.m.ÖNK kiadás'!K20</f>
        <v>4820000</v>
      </c>
      <c r="R23" s="1103">
        <f t="shared" si="8"/>
        <v>0.9897330595482546</v>
      </c>
    </row>
    <row r="24" spans="1:18" ht="13.5" thickBot="1">
      <c r="A24" s="324"/>
      <c r="B24" s="402"/>
      <c r="C24" s="402"/>
      <c r="D24" s="402"/>
      <c r="E24" s="402"/>
      <c r="F24" s="402"/>
      <c r="G24" s="402"/>
      <c r="H24" s="402"/>
      <c r="I24" s="1103"/>
      <c r="J24" s="386" t="s">
        <v>180</v>
      </c>
      <c r="K24" s="402"/>
      <c r="L24" s="402"/>
      <c r="M24" s="402"/>
      <c r="N24" s="402">
        <v>3113905</v>
      </c>
      <c r="O24" s="402"/>
      <c r="P24" s="402"/>
      <c r="Q24" s="402"/>
      <c r="R24" s="1103"/>
    </row>
    <row r="25" spans="1:18" ht="13.5" hidden="1" thickBot="1">
      <c r="A25" s="333"/>
      <c r="B25" s="403"/>
      <c r="C25" s="403"/>
      <c r="D25" s="403"/>
      <c r="E25" s="403"/>
      <c r="F25" s="403"/>
      <c r="G25" s="403"/>
      <c r="H25" s="403"/>
      <c r="I25" s="1104" t="e">
        <f t="shared" si="1"/>
        <v>#DIV/0!</v>
      </c>
      <c r="J25" s="388"/>
      <c r="K25" s="403"/>
      <c r="L25" s="403"/>
      <c r="M25" s="403"/>
      <c r="N25" s="403"/>
      <c r="O25" s="403"/>
      <c r="P25" s="403"/>
      <c r="Q25" s="403"/>
      <c r="R25" s="1104" t="e">
        <f t="shared" si="8"/>
        <v>#DIV/0!</v>
      </c>
    </row>
    <row r="26" spans="1:18" ht="13.5" thickBot="1">
      <c r="A26" s="334" t="s">
        <v>184</v>
      </c>
      <c r="B26" s="408">
        <f aca="true" t="shared" si="9" ref="B26:G26">SUM(B21:B24)</f>
        <v>73000000</v>
      </c>
      <c r="C26" s="408">
        <f t="shared" si="9"/>
        <v>73000000</v>
      </c>
      <c r="D26" s="408">
        <f t="shared" si="9"/>
        <v>73280000</v>
      </c>
      <c r="E26" s="408">
        <f t="shared" si="9"/>
        <v>241924474</v>
      </c>
      <c r="F26" s="408">
        <f t="shared" si="9"/>
        <v>238080474</v>
      </c>
      <c r="G26" s="408">
        <f t="shared" si="9"/>
        <v>236972474</v>
      </c>
      <c r="H26" s="408">
        <f>SUM(H21:H24)</f>
        <v>236972474</v>
      </c>
      <c r="I26" s="1111">
        <f t="shared" si="1"/>
        <v>1</v>
      </c>
      <c r="J26" s="393" t="s">
        <v>183</v>
      </c>
      <c r="K26" s="416">
        <f aca="true" t="shared" si="10" ref="K26:P26">SUM(K21:K25)</f>
        <v>109800042</v>
      </c>
      <c r="L26" s="416">
        <f t="shared" si="10"/>
        <v>110307801</v>
      </c>
      <c r="M26" s="416">
        <f t="shared" si="10"/>
        <v>132292875</v>
      </c>
      <c r="N26" s="416">
        <f t="shared" si="10"/>
        <v>295597472</v>
      </c>
      <c r="O26" s="416">
        <f t="shared" si="10"/>
        <v>301386237</v>
      </c>
      <c r="P26" s="416">
        <f t="shared" si="10"/>
        <v>310133502</v>
      </c>
      <c r="Q26" s="416">
        <f>SUM(Q21:Q25)</f>
        <v>104082320</v>
      </c>
      <c r="R26" s="1117">
        <f t="shared" si="8"/>
        <v>0.33560489056741766</v>
      </c>
    </row>
    <row r="27" spans="1:18" ht="15" customHeight="1">
      <c r="A27" s="328" t="s">
        <v>462</v>
      </c>
      <c r="B27" s="410">
        <v>39823782</v>
      </c>
      <c r="C27" s="410">
        <f>39823782+14999+347980+144780</f>
        <v>40331541</v>
      </c>
      <c r="D27" s="410">
        <f>39823782+14999+347980+144780+21705074</f>
        <v>62036615</v>
      </c>
      <c r="E27" s="410">
        <f>10090000+8316000+2061005+36229733</f>
        <v>56696738</v>
      </c>
      <c r="F27" s="410">
        <f>10090000+8316000+2061005+36229733+9632765</f>
        <v>66329503</v>
      </c>
      <c r="G27" s="410">
        <f>10090000+8316000+2061005+36229733+9632765+9855265</f>
        <v>76184768</v>
      </c>
      <c r="H27" s="410">
        <f>10090000+8316000+2061005+36229733+9632765+9855265</f>
        <v>76184768</v>
      </c>
      <c r="I27" s="1102">
        <f t="shared" si="1"/>
        <v>1</v>
      </c>
      <c r="J27" s="394" t="s">
        <v>185</v>
      </c>
      <c r="K27" s="401">
        <f>'4.sz.m.ÖNK kiadás'!E33</f>
        <v>3023740</v>
      </c>
      <c r="L27" s="401">
        <f>'4.sz.m.ÖNK kiadás'!F33</f>
        <v>3023740</v>
      </c>
      <c r="M27" s="401">
        <f>'4.sz.m.ÖNK kiadás'!G33</f>
        <v>3023740</v>
      </c>
      <c r="N27" s="401">
        <f>'4.sz.m.ÖNK kiadás'!H33</f>
        <v>3023740</v>
      </c>
      <c r="O27" s="401">
        <f>'4.sz.m.ÖNK kiadás'!I33</f>
        <v>3023740</v>
      </c>
      <c r="P27" s="401">
        <f>'4.sz.m.ÖNK kiadás'!J33</f>
        <v>3023740</v>
      </c>
      <c r="Q27" s="401">
        <f>'4.sz.m.ÖNK kiadás'!K33</f>
        <v>3023740</v>
      </c>
      <c r="R27" s="1102">
        <f t="shared" si="8"/>
        <v>1</v>
      </c>
    </row>
    <row r="28" spans="1:18" ht="13.5" thickBot="1">
      <c r="A28" s="329" t="s">
        <v>166</v>
      </c>
      <c r="B28" s="411">
        <f>'3.sz.m Önk  bev.'!E57</f>
        <v>0</v>
      </c>
      <c r="C28" s="411">
        <f>'3.sz.m Önk  bev.'!F57</f>
        <v>0</v>
      </c>
      <c r="D28" s="411">
        <f>'3.sz.m Önk  bev.'!G57</f>
        <v>0</v>
      </c>
      <c r="E28" s="411">
        <f>'3.sz.m Önk  bev.'!H57</f>
        <v>0</v>
      </c>
      <c r="F28" s="411">
        <f>'3.sz.m Önk  bev.'!I57</f>
        <v>0</v>
      </c>
      <c r="G28" s="411"/>
      <c r="H28" s="411"/>
      <c r="I28" s="1113"/>
      <c r="J28" s="395" t="s">
        <v>467</v>
      </c>
      <c r="K28" s="403"/>
      <c r="L28" s="403"/>
      <c r="M28" s="403"/>
      <c r="N28" s="403"/>
      <c r="O28" s="403"/>
      <c r="P28" s="403"/>
      <c r="Q28" s="403"/>
      <c r="R28" s="1104"/>
    </row>
    <row r="29" spans="1:18" ht="25.5" customHeight="1" thickBot="1">
      <c r="A29" s="335" t="s">
        <v>187</v>
      </c>
      <c r="B29" s="407">
        <f aca="true" t="shared" si="11" ref="B29:G29">SUM(B27:B28)</f>
        <v>39823782</v>
      </c>
      <c r="C29" s="407">
        <f t="shared" si="11"/>
        <v>40331541</v>
      </c>
      <c r="D29" s="407">
        <f t="shared" si="11"/>
        <v>62036615</v>
      </c>
      <c r="E29" s="407">
        <f t="shared" si="11"/>
        <v>56696738</v>
      </c>
      <c r="F29" s="407">
        <f t="shared" si="11"/>
        <v>66329503</v>
      </c>
      <c r="G29" s="407">
        <f t="shared" si="11"/>
        <v>76184768</v>
      </c>
      <c r="H29" s="407">
        <f>SUM(H27:H28)</f>
        <v>76184768</v>
      </c>
      <c r="I29" s="1110">
        <f t="shared" si="1"/>
        <v>1</v>
      </c>
      <c r="J29" s="393" t="s">
        <v>188</v>
      </c>
      <c r="K29" s="408">
        <f aca="true" t="shared" si="12" ref="K29:P29">SUM(K27:K28)</f>
        <v>3023740</v>
      </c>
      <c r="L29" s="408">
        <f t="shared" si="12"/>
        <v>3023740</v>
      </c>
      <c r="M29" s="408">
        <f t="shared" si="12"/>
        <v>3023740</v>
      </c>
      <c r="N29" s="408">
        <f t="shared" si="12"/>
        <v>3023740</v>
      </c>
      <c r="O29" s="408">
        <f t="shared" si="12"/>
        <v>3023740</v>
      </c>
      <c r="P29" s="408">
        <f t="shared" si="12"/>
        <v>3023740</v>
      </c>
      <c r="Q29" s="408">
        <f>SUM(Q27:Q28)</f>
        <v>3023740</v>
      </c>
      <c r="R29" s="1111">
        <f t="shared" si="8"/>
        <v>1</v>
      </c>
    </row>
    <row r="30" spans="1:18" ht="26.25" customHeight="1" thickBot="1">
      <c r="A30" s="332" t="s">
        <v>189</v>
      </c>
      <c r="B30" s="408">
        <f aca="true" t="shared" si="13" ref="B30:G30">B26+B29</f>
        <v>112823782</v>
      </c>
      <c r="C30" s="408">
        <f t="shared" si="13"/>
        <v>113331541</v>
      </c>
      <c r="D30" s="408">
        <f t="shared" si="13"/>
        <v>135316615</v>
      </c>
      <c r="E30" s="408">
        <f t="shared" si="13"/>
        <v>298621212</v>
      </c>
      <c r="F30" s="408">
        <f t="shared" si="13"/>
        <v>304409977</v>
      </c>
      <c r="G30" s="408">
        <f t="shared" si="13"/>
        <v>313157242</v>
      </c>
      <c r="H30" s="408">
        <f>H26+H29</f>
        <v>313157242</v>
      </c>
      <c r="I30" s="1111">
        <f t="shared" si="1"/>
        <v>1</v>
      </c>
      <c r="J30" s="396" t="s">
        <v>190</v>
      </c>
      <c r="K30" s="408">
        <f aca="true" t="shared" si="14" ref="K30:P30">K29+K26</f>
        <v>112823782</v>
      </c>
      <c r="L30" s="408">
        <f t="shared" si="14"/>
        <v>113331541</v>
      </c>
      <c r="M30" s="408">
        <f t="shared" si="14"/>
        <v>135316615</v>
      </c>
      <c r="N30" s="408">
        <f t="shared" si="14"/>
        <v>298621212</v>
      </c>
      <c r="O30" s="408">
        <f t="shared" si="14"/>
        <v>304409977</v>
      </c>
      <c r="P30" s="408">
        <f t="shared" si="14"/>
        <v>313157242</v>
      </c>
      <c r="Q30" s="408">
        <f>Q29+Q26</f>
        <v>107106060</v>
      </c>
      <c r="R30" s="1111">
        <f t="shared" si="8"/>
        <v>0.3420200641567791</v>
      </c>
    </row>
    <row r="31" spans="1:18" ht="26.25" customHeight="1" hidden="1" thickBot="1">
      <c r="A31" s="332" t="s">
        <v>240</v>
      </c>
      <c r="B31" s="412"/>
      <c r="C31" s="412"/>
      <c r="D31" s="412"/>
      <c r="E31" s="412"/>
      <c r="F31" s="412"/>
      <c r="G31" s="412"/>
      <c r="H31" s="412"/>
      <c r="I31" s="1114" t="e">
        <f t="shared" si="1"/>
        <v>#DIV/0!</v>
      </c>
      <c r="J31" s="396" t="s">
        <v>239</v>
      </c>
      <c r="K31" s="408"/>
      <c r="L31" s="408"/>
      <c r="M31" s="408"/>
      <c r="N31" s="408"/>
      <c r="O31" s="408"/>
      <c r="P31" s="408"/>
      <c r="Q31" s="408"/>
      <c r="R31" s="1111" t="e">
        <f t="shared" si="8"/>
        <v>#DIV/0!</v>
      </c>
    </row>
    <row r="32" spans="1:18" ht="29.25" customHeight="1" thickBot="1">
      <c r="A32" s="336" t="s">
        <v>191</v>
      </c>
      <c r="B32" s="413">
        <f aca="true" t="shared" si="15" ref="B32:G32">B19+B30</f>
        <v>699181183</v>
      </c>
      <c r="C32" s="413">
        <f t="shared" si="15"/>
        <v>699181183</v>
      </c>
      <c r="D32" s="413">
        <f t="shared" si="15"/>
        <v>704675248</v>
      </c>
      <c r="E32" s="413">
        <f t="shared" si="15"/>
        <v>882005870</v>
      </c>
      <c r="F32" s="413">
        <f t="shared" si="15"/>
        <v>892596602</v>
      </c>
      <c r="G32" s="413">
        <f t="shared" si="15"/>
        <v>919864500</v>
      </c>
      <c r="H32" s="413">
        <f>H19+H30</f>
        <v>912045856</v>
      </c>
      <c r="I32" s="1115">
        <f t="shared" si="1"/>
        <v>0.9915002220435727</v>
      </c>
      <c r="J32" s="397" t="s">
        <v>192</v>
      </c>
      <c r="K32" s="417">
        <f aca="true" t="shared" si="16" ref="K32:P32">K30+K19</f>
        <v>699181183</v>
      </c>
      <c r="L32" s="417">
        <f t="shared" si="16"/>
        <v>699181183</v>
      </c>
      <c r="M32" s="417">
        <f t="shared" si="16"/>
        <v>704675248</v>
      </c>
      <c r="N32" s="417">
        <f t="shared" si="16"/>
        <v>882005870</v>
      </c>
      <c r="O32" s="417">
        <f t="shared" si="16"/>
        <v>892596602</v>
      </c>
      <c r="P32" s="417">
        <f t="shared" si="16"/>
        <v>919864500</v>
      </c>
      <c r="Q32" s="417">
        <f>Q30+Q19</f>
        <v>588570460</v>
      </c>
      <c r="R32" s="1118">
        <f t="shared" si="8"/>
        <v>0.6398447380021731</v>
      </c>
    </row>
    <row r="34" spans="2:14" ht="12.75">
      <c r="B34" s="28"/>
      <c r="C34" s="28"/>
      <c r="D34" s="28"/>
      <c r="E34" s="28"/>
      <c r="F34" s="28"/>
      <c r="G34" s="28"/>
      <c r="H34" s="28"/>
      <c r="I34" s="28"/>
      <c r="K34" s="28"/>
      <c r="M34" s="28"/>
      <c r="N34" s="28"/>
    </row>
    <row r="35" spans="5:16" ht="12.75">
      <c r="E35" s="28"/>
      <c r="F35" s="28"/>
      <c r="N35" s="28"/>
      <c r="O35" s="28"/>
      <c r="P35" s="28"/>
    </row>
    <row r="36" spans="3:11" ht="12.75">
      <c r="C36" s="28"/>
      <c r="J36" s="28"/>
      <c r="K36" s="28"/>
    </row>
    <row r="37" ht="12.75">
      <c r="C37" s="28"/>
    </row>
    <row r="38" ht="12.75">
      <c r="C38" s="28"/>
    </row>
  </sheetData>
  <sheetProtection/>
  <mergeCells count="4">
    <mergeCell ref="A2:K2"/>
    <mergeCell ref="A20:K20"/>
    <mergeCell ref="A4:K4"/>
    <mergeCell ref="J1:O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5" max="3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421875" style="1227" bestFit="1" customWidth="1"/>
    <col min="2" max="2" width="42.7109375" style="1227" bestFit="1" customWidth="1"/>
    <col min="3" max="3" width="17.421875" style="1227" customWidth="1"/>
    <col min="4" max="4" width="14.28125" style="1227" customWidth="1"/>
    <col min="5" max="16384" width="9.140625" style="1227" customWidth="1"/>
  </cols>
  <sheetData>
    <row r="1" spans="1:3" ht="12.75" customHeight="1">
      <c r="A1" s="1226"/>
      <c r="B1" s="1743" t="s">
        <v>671</v>
      </c>
      <c r="C1" s="1743"/>
    </row>
    <row r="2" spans="1:3" ht="14.25">
      <c r="A2" s="1228"/>
      <c r="B2" s="1228"/>
      <c r="C2" s="1228"/>
    </row>
    <row r="3" spans="1:3" ht="14.25">
      <c r="A3" s="1744" t="s">
        <v>672</v>
      </c>
      <c r="B3" s="1744"/>
      <c r="C3" s="1744"/>
    </row>
    <row r="4" spans="1:3" ht="13.5" thickBot="1">
      <c r="A4" s="1226"/>
      <c r="B4" s="1226"/>
      <c r="C4" s="1229"/>
    </row>
    <row r="5" spans="1:3" ht="15" thickBot="1">
      <c r="A5" s="1230" t="s">
        <v>249</v>
      </c>
      <c r="B5" s="1231" t="s">
        <v>4</v>
      </c>
      <c r="C5" s="1232" t="s">
        <v>673</v>
      </c>
    </row>
    <row r="6" spans="1:3" ht="25.5">
      <c r="A6" s="1233" t="s">
        <v>27</v>
      </c>
      <c r="B6" s="1234" t="s">
        <v>679</v>
      </c>
      <c r="C6" s="1242">
        <f>C7+C8+C9+C10</f>
        <v>117260814</v>
      </c>
    </row>
    <row r="7" spans="1:3" ht="12.75">
      <c r="A7" s="1235" t="s">
        <v>28</v>
      </c>
      <c r="B7" s="1236" t="s">
        <v>674</v>
      </c>
      <c r="C7" s="1237">
        <v>116004558</v>
      </c>
    </row>
    <row r="8" spans="1:3" ht="12.75">
      <c r="A8" s="1235" t="s">
        <v>10</v>
      </c>
      <c r="B8" s="1236" t="s">
        <v>675</v>
      </c>
      <c r="C8" s="1239">
        <v>0</v>
      </c>
    </row>
    <row r="9" spans="1:3" ht="12.75">
      <c r="A9" s="1235" t="s">
        <v>11</v>
      </c>
      <c r="B9" s="1236" t="s">
        <v>676</v>
      </c>
      <c r="C9" s="1239">
        <v>0</v>
      </c>
    </row>
    <row r="10" spans="1:3" ht="13.5" thickBot="1">
      <c r="A10" s="1238" t="s">
        <v>12</v>
      </c>
      <c r="B10" s="1236" t="s">
        <v>677</v>
      </c>
      <c r="C10" s="1246">
        <v>1256256</v>
      </c>
    </row>
    <row r="11" spans="1:3" ht="25.5">
      <c r="A11" s="1240" t="s">
        <v>13</v>
      </c>
      <c r="B11" s="1241" t="s">
        <v>680</v>
      </c>
      <c r="C11" s="1242">
        <f>C12+C13+C14+C15</f>
        <v>316150998</v>
      </c>
    </row>
    <row r="12" spans="1:3" ht="12.75">
      <c r="A12" s="1235" t="s">
        <v>14</v>
      </c>
      <c r="B12" s="1236" t="s">
        <v>674</v>
      </c>
      <c r="C12" s="1237">
        <f>316150998-1257504</f>
        <v>314893494</v>
      </c>
    </row>
    <row r="13" spans="1:3" ht="12.75">
      <c r="A13" s="1243" t="s">
        <v>57</v>
      </c>
      <c r="B13" s="1236" t="s">
        <v>675</v>
      </c>
      <c r="C13" s="1239">
        <v>0</v>
      </c>
    </row>
    <row r="14" spans="1:3" ht="12.75">
      <c r="A14" s="1243" t="s">
        <v>58</v>
      </c>
      <c r="B14" s="1236" t="s">
        <v>676</v>
      </c>
      <c r="C14" s="1239">
        <v>0</v>
      </c>
    </row>
    <row r="15" spans="1:3" ht="13.5" thickBot="1">
      <c r="A15" s="1244" t="s">
        <v>405</v>
      </c>
      <c r="B15" s="1245" t="s">
        <v>677</v>
      </c>
      <c r="C15" s="1246">
        <v>1257504</v>
      </c>
    </row>
  </sheetData>
  <sheetProtection/>
  <mergeCells count="2">
    <mergeCell ref="B1:C1"/>
    <mergeCell ref="A3:C3"/>
  </mergeCells>
  <conditionalFormatting sqref="C11">
    <cfRule type="cellIs" priority="2" dxfId="2" operator="notEqual" stopIfTrue="1">
      <formula>SUM(C12:C15)</formula>
    </cfRule>
  </conditionalFormatting>
  <conditionalFormatting sqref="C6">
    <cfRule type="cellIs" priority="1" dxfId="2" operator="notEqual" stopIfTrue="1">
      <formula>SUM(C7:C10)</formula>
    </cfRule>
  </conditionalFormatting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7">
      <selection activeCell="K9" sqref="K9"/>
    </sheetView>
  </sheetViews>
  <sheetFormatPr defaultColWidth="9.140625" defaultRowHeight="12.75"/>
  <cols>
    <col min="1" max="1" width="55.57421875" style="958" customWidth="1"/>
    <col min="2" max="2" width="27.7109375" style="958" customWidth="1"/>
    <col min="3" max="3" width="11.140625" style="959" customWidth="1"/>
    <col min="4" max="4" width="20.8515625" style="959" bestFit="1" customWidth="1"/>
    <col min="5" max="5" width="26.8515625" style="961" customWidth="1"/>
    <col min="6" max="8" width="12.00390625" style="961" customWidth="1"/>
    <col min="9" max="9" width="9.421875" style="961" customWidth="1"/>
    <col min="10" max="10" width="11.8515625" style="961" customWidth="1"/>
    <col min="11" max="11" width="20.8515625" style="961" bestFit="1" customWidth="1"/>
    <col min="12" max="16384" width="9.140625" style="961" customWidth="1"/>
  </cols>
  <sheetData>
    <row r="1" spans="5:10" ht="12.75">
      <c r="E1" s="1747"/>
      <c r="F1" s="1747"/>
      <c r="G1" s="1747"/>
      <c r="H1" s="1747"/>
      <c r="I1" s="1747"/>
      <c r="J1" s="1747"/>
    </row>
    <row r="2" spans="2:10" ht="12.75">
      <c r="B2" s="1748" t="s">
        <v>666</v>
      </c>
      <c r="C2" s="1748"/>
      <c r="D2" s="1748"/>
      <c r="E2" s="1748"/>
      <c r="F2" s="1748"/>
      <c r="G2" s="1748"/>
      <c r="H2" s="1748"/>
      <c r="I2" s="1748"/>
      <c r="J2" s="1748"/>
    </row>
    <row r="3" spans="1:10" ht="26.25" customHeight="1">
      <c r="A3" s="1749" t="s">
        <v>579</v>
      </c>
      <c r="B3" s="1749"/>
      <c r="C3" s="1749"/>
      <c r="D3" s="1749"/>
      <c r="E3" s="1749"/>
      <c r="F3" s="1749"/>
      <c r="G3" s="1749"/>
      <c r="H3" s="1749"/>
      <c r="I3" s="1749"/>
      <c r="J3" s="1749"/>
    </row>
    <row r="4" spans="1:10" ht="21" customHeight="1">
      <c r="A4" s="1750" t="s">
        <v>580</v>
      </c>
      <c r="B4" s="1750"/>
      <c r="C4" s="1750"/>
      <c r="D4" s="1750"/>
      <c r="E4" s="1750"/>
      <c r="F4" s="1750"/>
      <c r="G4" s="1750"/>
      <c r="H4" s="1750"/>
      <c r="I4" s="1750"/>
      <c r="J4" s="1750"/>
    </row>
    <row r="5" spans="6:7" ht="32.25" customHeight="1" thickBot="1">
      <c r="F5" s="960" t="s">
        <v>488</v>
      </c>
      <c r="G5" s="960"/>
    </row>
    <row r="6" spans="1:11" s="963" customFormat="1" ht="13.5" thickBot="1">
      <c r="A6" s="962" t="s">
        <v>4</v>
      </c>
      <c r="B6" s="1751" t="s">
        <v>581</v>
      </c>
      <c r="C6" s="1752"/>
      <c r="D6" s="1752"/>
      <c r="E6" s="1751" t="s">
        <v>582</v>
      </c>
      <c r="F6" s="1752"/>
      <c r="G6" s="1752"/>
      <c r="H6" s="1041"/>
      <c r="I6" s="1042"/>
      <c r="J6" s="1042"/>
      <c r="K6" s="1041"/>
    </row>
    <row r="7" spans="1:11" ht="12.75">
      <c r="A7" s="964"/>
      <c r="D7" s="966" t="s">
        <v>639</v>
      </c>
      <c r="E7" s="965"/>
      <c r="F7" s="966">
        <v>2016</v>
      </c>
      <c r="G7" s="966">
        <v>2017</v>
      </c>
      <c r="H7" s="966">
        <v>2018</v>
      </c>
      <c r="I7" s="966">
        <v>2019</v>
      </c>
      <c r="J7" s="966" t="s">
        <v>1</v>
      </c>
      <c r="K7" s="966" t="s">
        <v>639</v>
      </c>
    </row>
    <row r="8" spans="1:11" ht="12.75">
      <c r="A8" s="967"/>
      <c r="B8" s="967"/>
      <c r="C8" s="968"/>
      <c r="D8" s="969"/>
      <c r="E8" s="970"/>
      <c r="F8" s="968"/>
      <c r="G8" s="968"/>
      <c r="H8" s="968"/>
      <c r="I8" s="968"/>
      <c r="J8" s="968"/>
      <c r="K8" s="968"/>
    </row>
    <row r="9" spans="1:11" ht="20.25" customHeight="1">
      <c r="A9" s="971" t="s">
        <v>583</v>
      </c>
      <c r="B9" s="972" t="s">
        <v>267</v>
      </c>
      <c r="C9" s="973">
        <v>76299528</v>
      </c>
      <c r="D9" s="973">
        <v>76299528</v>
      </c>
      <c r="E9" s="974" t="s">
        <v>584</v>
      </c>
      <c r="F9" s="973">
        <f>1524000+915594</f>
        <v>2439594</v>
      </c>
      <c r="G9" s="973">
        <f>-915594+3810000-1524000</f>
        <v>1370406</v>
      </c>
      <c r="H9" s="973">
        <v>70228928</v>
      </c>
      <c r="I9" s="973">
        <v>2260600</v>
      </c>
      <c r="J9" s="973">
        <f>SUM(F9:I9)</f>
        <v>76299528</v>
      </c>
      <c r="K9" s="973">
        <v>1370406</v>
      </c>
    </row>
    <row r="10" spans="1:11" ht="18" customHeight="1">
      <c r="A10" s="1753" t="s">
        <v>585</v>
      </c>
      <c r="B10" s="975" t="s">
        <v>586</v>
      </c>
      <c r="C10" s="976"/>
      <c r="D10" s="976"/>
      <c r="E10" s="977"/>
      <c r="F10" s="978"/>
      <c r="G10" s="978"/>
      <c r="H10" s="978"/>
      <c r="I10" s="978"/>
      <c r="J10" s="978"/>
      <c r="K10" s="978"/>
    </row>
    <row r="11" spans="1:11" ht="18.75" customHeight="1" thickBot="1">
      <c r="A11" s="1755"/>
      <c r="B11" s="979" t="s">
        <v>587</v>
      </c>
      <c r="C11" s="980">
        <f>C9+C10</f>
        <v>76299528</v>
      </c>
      <c r="D11" s="980">
        <f>D9+D10</f>
        <v>76299528</v>
      </c>
      <c r="E11" s="981" t="s">
        <v>588</v>
      </c>
      <c r="F11" s="980">
        <f aca="true" t="shared" si="0" ref="F11:K11">F9+F10</f>
        <v>2439594</v>
      </c>
      <c r="G11" s="980">
        <f t="shared" si="0"/>
        <v>1370406</v>
      </c>
      <c r="H11" s="980">
        <f t="shared" si="0"/>
        <v>70228928</v>
      </c>
      <c r="I11" s="980">
        <f t="shared" si="0"/>
        <v>2260600</v>
      </c>
      <c r="J11" s="980">
        <f t="shared" si="0"/>
        <v>76299528</v>
      </c>
      <c r="K11" s="980">
        <f t="shared" si="0"/>
        <v>1370406</v>
      </c>
    </row>
    <row r="12" spans="1:7" ht="12" customHeight="1">
      <c r="A12" s="982"/>
      <c r="B12" s="983"/>
      <c r="C12" s="984"/>
      <c r="D12" s="984"/>
      <c r="E12" s="985"/>
      <c r="F12" s="986"/>
      <c r="G12" s="986"/>
    </row>
    <row r="13" ht="13.5" thickBot="1"/>
    <row r="14" spans="1:11" ht="12.75">
      <c r="A14" s="987" t="s">
        <v>589</v>
      </c>
      <c r="B14" s="988" t="s">
        <v>267</v>
      </c>
      <c r="C14" s="989">
        <v>27810421</v>
      </c>
      <c r="D14" s="989">
        <v>27810421</v>
      </c>
      <c r="E14" s="990" t="s">
        <v>584</v>
      </c>
      <c r="F14" s="989">
        <v>333724</v>
      </c>
      <c r="G14" s="989">
        <f>(1619250+23441171+275000)*0.25+1380000-333724</f>
        <v>7380131.25</v>
      </c>
      <c r="H14" s="989">
        <f>(1619250+23441171+275000)*0.75+270000+135000+690000</f>
        <v>20096565.75</v>
      </c>
      <c r="I14" s="989">
        <v>0</v>
      </c>
      <c r="J14" s="989">
        <f>SUM(F14:I14)</f>
        <v>27810421</v>
      </c>
      <c r="K14" s="989">
        <v>1046276</v>
      </c>
    </row>
    <row r="15" spans="1:11" ht="12.75">
      <c r="A15" s="1753" t="s">
        <v>590</v>
      </c>
      <c r="B15" s="1758" t="s">
        <v>591</v>
      </c>
      <c r="C15" s="1760"/>
      <c r="D15" s="1760"/>
      <c r="E15" s="1745"/>
      <c r="F15" s="1756"/>
      <c r="G15" s="1756"/>
      <c r="H15" s="1756"/>
      <c r="I15" s="1756"/>
      <c r="J15" s="1756"/>
      <c r="K15" s="1756"/>
    </row>
    <row r="16" spans="1:11" ht="12.75">
      <c r="A16" s="1754"/>
      <c r="B16" s="1759"/>
      <c r="C16" s="1761"/>
      <c r="D16" s="1761"/>
      <c r="E16" s="1746"/>
      <c r="F16" s="1757"/>
      <c r="G16" s="1757"/>
      <c r="H16" s="1757"/>
      <c r="I16" s="1757"/>
      <c r="J16" s="1757"/>
      <c r="K16" s="1757"/>
    </row>
    <row r="17" spans="1:11" ht="13.5" thickBot="1">
      <c r="A17" s="1755"/>
      <c r="B17" s="993" t="s">
        <v>587</v>
      </c>
      <c r="C17" s="980">
        <f>C14+C16</f>
        <v>27810421</v>
      </c>
      <c r="D17" s="980">
        <f>D14+D16</f>
        <v>27810421</v>
      </c>
      <c r="E17" s="981" t="s">
        <v>588</v>
      </c>
      <c r="F17" s="980">
        <f aca="true" t="shared" si="1" ref="F17:K17">F14+F16</f>
        <v>333724</v>
      </c>
      <c r="G17" s="980">
        <f t="shared" si="1"/>
        <v>7380131.25</v>
      </c>
      <c r="H17" s="980">
        <f t="shared" si="1"/>
        <v>20096565.75</v>
      </c>
      <c r="I17" s="980">
        <f t="shared" si="1"/>
        <v>0</v>
      </c>
      <c r="J17" s="980">
        <f t="shared" si="1"/>
        <v>27810421</v>
      </c>
      <c r="K17" s="980">
        <f t="shared" si="1"/>
        <v>1046276</v>
      </c>
    </row>
    <row r="18" spans="1:7" ht="12.75">
      <c r="A18" s="982"/>
      <c r="B18" s="994"/>
      <c r="C18" s="984"/>
      <c r="D18" s="984"/>
      <c r="E18" s="985"/>
      <c r="F18" s="986"/>
      <c r="G18" s="986"/>
    </row>
    <row r="19" ht="13.5" thickBot="1"/>
    <row r="20" spans="1:11" ht="12.75">
      <c r="A20" s="995" t="s">
        <v>592</v>
      </c>
      <c r="B20" s="996" t="s">
        <v>593</v>
      </c>
      <c r="C20" s="997">
        <v>57551464</v>
      </c>
      <c r="D20" s="997">
        <v>57551464</v>
      </c>
      <c r="E20" s="998" t="s">
        <v>584</v>
      </c>
      <c r="F20" s="989">
        <v>0</v>
      </c>
      <c r="G20" s="989">
        <f>1270000*0.25+2751885*0.8</f>
        <v>2519008</v>
      </c>
      <c r="H20" s="989">
        <f>C20-G20</f>
        <v>55032456</v>
      </c>
      <c r="I20" s="989">
        <v>0</v>
      </c>
      <c r="J20" s="989">
        <f>SUM(F20:I20)</f>
        <v>57551464</v>
      </c>
      <c r="K20" s="989">
        <v>0</v>
      </c>
    </row>
    <row r="21" spans="1:11" ht="12.75">
      <c r="A21" s="1753" t="s">
        <v>594</v>
      </c>
      <c r="B21" s="999" t="s">
        <v>591</v>
      </c>
      <c r="C21" s="1000"/>
      <c r="D21" s="1000"/>
      <c r="E21" s="1001"/>
      <c r="F21" s="1756"/>
      <c r="G21" s="1756"/>
      <c r="H21" s="1756"/>
      <c r="I21" s="1756"/>
      <c r="J21" s="1756"/>
      <c r="K21" s="1756"/>
    </row>
    <row r="22" spans="1:11" ht="25.5">
      <c r="A22" s="1754"/>
      <c r="B22" s="975" t="s">
        <v>595</v>
      </c>
      <c r="C22" s="976"/>
      <c r="D22" s="976"/>
      <c r="E22" s="977"/>
      <c r="F22" s="1757"/>
      <c r="G22" s="1757"/>
      <c r="H22" s="1757"/>
      <c r="I22" s="1757"/>
      <c r="J22" s="1757"/>
      <c r="K22" s="1757"/>
    </row>
    <row r="23" spans="1:11" ht="13.5" thickBot="1">
      <c r="A23" s="1755"/>
      <c r="B23" s="979" t="s">
        <v>587</v>
      </c>
      <c r="C23" s="980">
        <f>C21+C22+C20</f>
        <v>57551464</v>
      </c>
      <c r="D23" s="980">
        <f>D21+D22+D20</f>
        <v>57551464</v>
      </c>
      <c r="E23" s="981" t="s">
        <v>588</v>
      </c>
      <c r="F23" s="980">
        <f>F20+F22</f>
        <v>0</v>
      </c>
      <c r="G23" s="980">
        <f>G20+G22</f>
        <v>2519008</v>
      </c>
      <c r="H23" s="980">
        <f>H20+H22</f>
        <v>55032456</v>
      </c>
      <c r="I23" s="980"/>
      <c r="J23" s="980">
        <f>J20+J22</f>
        <v>57551464</v>
      </c>
      <c r="K23" s="980">
        <f>K20+K22</f>
        <v>0</v>
      </c>
    </row>
    <row r="24" ht="13.5" thickBot="1"/>
    <row r="25" spans="1:11" ht="12.75">
      <c r="A25" s="987" t="s">
        <v>596</v>
      </c>
      <c r="B25" s="988" t="s">
        <v>267</v>
      </c>
      <c r="C25" s="989">
        <v>6983061</v>
      </c>
      <c r="D25" s="989">
        <v>6983061</v>
      </c>
      <c r="E25" s="990" t="s">
        <v>584</v>
      </c>
      <c r="F25" s="989"/>
      <c r="G25" s="989">
        <f>3139061+770000+840000+150000</f>
        <v>4899061</v>
      </c>
      <c r="H25" s="989">
        <f>C25-G25</f>
        <v>2084000</v>
      </c>
      <c r="I25" s="989">
        <v>0</v>
      </c>
      <c r="J25" s="989">
        <f>SUM(F25:I25)</f>
        <v>6983061</v>
      </c>
      <c r="K25" s="989">
        <v>3859466</v>
      </c>
    </row>
    <row r="26" spans="1:11" ht="12.75">
      <c r="A26" s="1753" t="s">
        <v>597</v>
      </c>
      <c r="B26" s="1758" t="s">
        <v>598</v>
      </c>
      <c r="C26" s="1760"/>
      <c r="D26" s="991"/>
      <c r="E26" s="1745"/>
      <c r="F26" s="1756"/>
      <c r="G26" s="1756"/>
      <c r="H26" s="1756"/>
      <c r="I26" s="1756"/>
      <c r="J26" s="1756"/>
      <c r="K26" s="1756"/>
    </row>
    <row r="27" spans="1:11" ht="12.75">
      <c r="A27" s="1754"/>
      <c r="B27" s="1759"/>
      <c r="C27" s="1761"/>
      <c r="D27" s="992"/>
      <c r="E27" s="1746"/>
      <c r="F27" s="1757"/>
      <c r="G27" s="1757"/>
      <c r="H27" s="1757"/>
      <c r="I27" s="1757"/>
      <c r="J27" s="1757"/>
      <c r="K27" s="1757"/>
    </row>
    <row r="28" spans="1:11" ht="13.5" thickBot="1">
      <c r="A28" s="1755"/>
      <c r="B28" s="993" t="s">
        <v>587</v>
      </c>
      <c r="C28" s="980">
        <f>C25+C27</f>
        <v>6983061</v>
      </c>
      <c r="D28" s="980">
        <f>D25+D27</f>
        <v>6983061</v>
      </c>
      <c r="E28" s="981" t="s">
        <v>588</v>
      </c>
      <c r="F28" s="980">
        <f aca="true" t="shared" si="2" ref="F28:K28">F25+F27</f>
        <v>0</v>
      </c>
      <c r="G28" s="980">
        <f t="shared" si="2"/>
        <v>4899061</v>
      </c>
      <c r="H28" s="980">
        <f t="shared" si="2"/>
        <v>2084000</v>
      </c>
      <c r="I28" s="980">
        <f t="shared" si="2"/>
        <v>0</v>
      </c>
      <c r="J28" s="980">
        <f t="shared" si="2"/>
        <v>6983061</v>
      </c>
      <c r="K28" s="980">
        <f t="shared" si="2"/>
        <v>3859466</v>
      </c>
    </row>
  </sheetData>
  <sheetProtection/>
  <mergeCells count="35">
    <mergeCell ref="K15:K16"/>
    <mergeCell ref="K21:K22"/>
    <mergeCell ref="K26:K27"/>
    <mergeCell ref="J21:J22"/>
    <mergeCell ref="A26:A28"/>
    <mergeCell ref="B26:B27"/>
    <mergeCell ref="C26:C27"/>
    <mergeCell ref="E26:E27"/>
    <mergeCell ref="F26:F27"/>
    <mergeCell ref="G26:G27"/>
    <mergeCell ref="H26:H27"/>
    <mergeCell ref="I26:I27"/>
    <mergeCell ref="J26:J27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A10:A11"/>
    <mergeCell ref="A15:A17"/>
    <mergeCell ref="B15:B16"/>
    <mergeCell ref="C15:C16"/>
    <mergeCell ref="D15:D16"/>
    <mergeCell ref="E15:E16"/>
    <mergeCell ref="E1:J1"/>
    <mergeCell ref="B2:J2"/>
    <mergeCell ref="A3:J3"/>
    <mergeCell ref="A4:J4"/>
    <mergeCell ref="B6:D6"/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12" customWidth="1"/>
    <col min="2" max="2" width="8.28125" style="306" customWidth="1"/>
    <col min="3" max="3" width="52.00390625" style="306" customWidth="1"/>
    <col min="4" max="6" width="8.28125" style="306" bestFit="1" customWidth="1"/>
    <col min="7" max="7" width="7.421875" style="306" bestFit="1" customWidth="1"/>
    <col min="8" max="8" width="8.421875" style="306" bestFit="1" customWidth="1"/>
    <col min="9" max="9" width="8.8515625" style="306" hidden="1" customWidth="1"/>
    <col min="10" max="12" width="8.28125" style="306" bestFit="1" customWidth="1"/>
    <col min="13" max="13" width="7.421875" style="306" bestFit="1" customWidth="1"/>
    <col min="14" max="14" width="8.421875" style="306" bestFit="1" customWidth="1"/>
    <col min="15" max="15" width="8.8515625" style="306" hidden="1" customWidth="1"/>
    <col min="16" max="16" width="12.421875" style="306" bestFit="1" customWidth="1"/>
    <col min="17" max="17" width="4.57421875" style="306" hidden="1" customWidth="1"/>
    <col min="18" max="18" width="0" style="306" hidden="1" customWidth="1"/>
    <col min="19" max="19" width="10.00390625" style="306" hidden="1" customWidth="1"/>
    <col min="20" max="20" width="0" style="306" hidden="1" customWidth="1"/>
    <col min="21" max="16384" width="9.140625" style="306" customWidth="1"/>
  </cols>
  <sheetData>
    <row r="1" spans="1:16" s="136" customFormat="1" ht="21" customHeight="1" hidden="1">
      <c r="A1" s="132"/>
      <c r="B1" s="133"/>
      <c r="C1" s="134"/>
      <c r="D1" s="135"/>
      <c r="E1" s="135"/>
      <c r="F1" s="135"/>
      <c r="G1" s="135"/>
      <c r="H1" s="135"/>
      <c r="I1" s="135"/>
      <c r="J1" s="1762"/>
      <c r="K1" s="1762"/>
      <c r="L1" s="1762"/>
      <c r="M1" s="1762"/>
      <c r="N1" s="1762"/>
      <c r="O1" s="1762"/>
      <c r="P1" s="1762"/>
    </row>
    <row r="2" spans="1:16" s="139" customFormat="1" ht="25.5" customHeight="1" hidden="1" thickBot="1">
      <c r="A2" s="1521"/>
      <c r="B2" s="1521"/>
      <c r="C2" s="1521"/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1"/>
    </row>
    <row r="3" spans="1:20" s="142" customFormat="1" ht="40.5" customHeight="1" hidden="1" thickBot="1">
      <c r="A3" s="140"/>
      <c r="B3" s="140"/>
      <c r="C3" s="140"/>
      <c r="D3" s="1528" t="s">
        <v>5</v>
      </c>
      <c r="E3" s="1529"/>
      <c r="F3" s="1529"/>
      <c r="G3" s="1529"/>
      <c r="H3" s="1529"/>
      <c r="I3" s="1530"/>
      <c r="J3" s="1528" t="s">
        <v>105</v>
      </c>
      <c r="K3" s="1529"/>
      <c r="L3" s="1529"/>
      <c r="M3" s="1529"/>
      <c r="N3" s="1529"/>
      <c r="O3" s="1530"/>
      <c r="P3" s="1763" t="s">
        <v>153</v>
      </c>
      <c r="Q3" s="1764"/>
      <c r="R3" s="1764"/>
      <c r="S3" s="1765"/>
      <c r="T3" s="484"/>
    </row>
    <row r="4" spans="1:19" ht="24.75" hidden="1" thickBot="1">
      <c r="A4" s="1519" t="s">
        <v>107</v>
      </c>
      <c r="B4" s="1520"/>
      <c r="C4" s="466" t="s">
        <v>108</v>
      </c>
      <c r="D4" s="460" t="s">
        <v>65</v>
      </c>
      <c r="E4" s="143" t="s">
        <v>228</v>
      </c>
      <c r="F4" s="143" t="s">
        <v>231</v>
      </c>
      <c r="G4" s="143" t="s">
        <v>233</v>
      </c>
      <c r="H4" s="143" t="s">
        <v>246</v>
      </c>
      <c r="I4" s="431" t="s">
        <v>237</v>
      </c>
      <c r="J4" s="460" t="s">
        <v>65</v>
      </c>
      <c r="K4" s="143" t="s">
        <v>228</v>
      </c>
      <c r="L4" s="143" t="s">
        <v>231</v>
      </c>
      <c r="M4" s="143" t="s">
        <v>233</v>
      </c>
      <c r="N4" s="143" t="s">
        <v>246</v>
      </c>
      <c r="O4" s="431" t="s">
        <v>237</v>
      </c>
      <c r="P4" s="460" t="s">
        <v>247</v>
      </c>
      <c r="Q4" s="143" t="s">
        <v>243</v>
      </c>
      <c r="R4" s="143" t="s">
        <v>231</v>
      </c>
      <c r="S4" s="431" t="s">
        <v>231</v>
      </c>
    </row>
    <row r="5" spans="1:19" s="148" customFormat="1" ht="12.75" customHeight="1" hidden="1" thickBot="1">
      <c r="A5" s="145">
        <v>1</v>
      </c>
      <c r="B5" s="146">
        <v>2</v>
      </c>
      <c r="C5" s="296">
        <v>3</v>
      </c>
      <c r="D5" s="145"/>
      <c r="E5" s="146"/>
      <c r="F5" s="146"/>
      <c r="G5" s="146"/>
      <c r="H5" s="146"/>
      <c r="I5" s="147"/>
      <c r="J5" s="145"/>
      <c r="K5" s="146"/>
      <c r="L5" s="146"/>
      <c r="M5" s="146"/>
      <c r="N5" s="146"/>
      <c r="O5" s="147"/>
      <c r="P5" s="145"/>
      <c r="Q5" s="146"/>
      <c r="R5" s="146"/>
      <c r="S5" s="147"/>
    </row>
    <row r="6" spans="1:19" s="148" customFormat="1" ht="15.75" customHeight="1" hidden="1" thickBot="1">
      <c r="A6" s="149"/>
      <c r="B6" s="150"/>
      <c r="C6" s="150" t="s">
        <v>109</v>
      </c>
      <c r="D6" s="437"/>
      <c r="E6" s="213"/>
      <c r="F6" s="213"/>
      <c r="G6" s="213"/>
      <c r="H6" s="213"/>
      <c r="I6" s="278"/>
      <c r="J6" s="437"/>
      <c r="K6" s="213"/>
      <c r="L6" s="213"/>
      <c r="M6" s="213"/>
      <c r="N6" s="213"/>
      <c r="O6" s="278"/>
      <c r="P6" s="437"/>
      <c r="Q6" s="213"/>
      <c r="R6" s="213"/>
      <c r="S6" s="278"/>
    </row>
    <row r="7" spans="1:19" s="154" customFormat="1" ht="12" customHeight="1" hidden="1" thickBot="1">
      <c r="A7" s="145" t="s">
        <v>27</v>
      </c>
      <c r="B7" s="151"/>
      <c r="C7" s="467" t="s">
        <v>110</v>
      </c>
      <c r="D7" s="438"/>
      <c r="E7" s="214"/>
      <c r="F7" s="214"/>
      <c r="G7" s="214"/>
      <c r="H7" s="493"/>
      <c r="I7" s="370"/>
      <c r="J7" s="438"/>
      <c r="K7" s="214"/>
      <c r="L7" s="214"/>
      <c r="M7" s="214"/>
      <c r="N7" s="493"/>
      <c r="O7" s="370"/>
      <c r="P7" s="438"/>
      <c r="Q7" s="214"/>
      <c r="R7" s="214"/>
      <c r="S7" s="153"/>
    </row>
    <row r="8" spans="1:19" s="154" customFormat="1" ht="12" customHeight="1" hidden="1" thickBot="1">
      <c r="A8" s="145" t="s">
        <v>10</v>
      </c>
      <c r="B8" s="151"/>
      <c r="C8" s="467" t="s">
        <v>116</v>
      </c>
      <c r="D8" s="438">
        <f aca="true" t="shared" si="0" ref="D8:M8">SUM(D9:D12)</f>
        <v>0</v>
      </c>
      <c r="E8" s="214">
        <f t="shared" si="0"/>
        <v>0</v>
      </c>
      <c r="F8" s="214">
        <f t="shared" si="0"/>
        <v>0</v>
      </c>
      <c r="G8" s="214">
        <f>SUM(G9:G12)</f>
        <v>0</v>
      </c>
      <c r="H8" s="493">
        <f>SUM(H9:H12)</f>
        <v>0</v>
      </c>
      <c r="I8" s="370"/>
      <c r="J8" s="438">
        <f t="shared" si="0"/>
        <v>0</v>
      </c>
      <c r="K8" s="214">
        <f t="shared" si="0"/>
        <v>0</v>
      </c>
      <c r="L8" s="214">
        <f t="shared" si="0"/>
        <v>0</v>
      </c>
      <c r="M8" s="214">
        <f t="shared" si="0"/>
        <v>0</v>
      </c>
      <c r="N8" s="493" t="s">
        <v>248</v>
      </c>
      <c r="O8" s="370"/>
      <c r="P8" s="438"/>
      <c r="Q8" s="214"/>
      <c r="R8" s="214"/>
      <c r="S8" s="153"/>
    </row>
    <row r="9" spans="1:19" s="160" customFormat="1" ht="12" customHeight="1" hidden="1">
      <c r="A9" s="157"/>
      <c r="B9" s="156" t="s">
        <v>117</v>
      </c>
      <c r="C9" s="450" t="s">
        <v>72</v>
      </c>
      <c r="D9" s="440"/>
      <c r="E9" s="215"/>
      <c r="F9" s="215"/>
      <c r="G9" s="215"/>
      <c r="H9" s="494"/>
      <c r="I9" s="459"/>
      <c r="J9" s="440"/>
      <c r="K9" s="215"/>
      <c r="L9" s="215"/>
      <c r="M9" s="215"/>
      <c r="N9" s="494"/>
      <c r="O9" s="459"/>
      <c r="P9" s="440"/>
      <c r="Q9" s="215"/>
      <c r="R9" s="215"/>
      <c r="S9" s="159"/>
    </row>
    <row r="10" spans="1:19" s="160" customFormat="1" ht="12" customHeight="1" hidden="1">
      <c r="A10" s="157"/>
      <c r="B10" s="156" t="s">
        <v>118</v>
      </c>
      <c r="C10" s="451" t="s">
        <v>119</v>
      </c>
      <c r="D10" s="440"/>
      <c r="E10" s="215"/>
      <c r="F10" s="215"/>
      <c r="G10" s="215"/>
      <c r="H10" s="494"/>
      <c r="I10" s="479"/>
      <c r="J10" s="440"/>
      <c r="K10" s="215"/>
      <c r="L10" s="215"/>
      <c r="M10" s="215"/>
      <c r="N10" s="494"/>
      <c r="O10" s="479"/>
      <c r="P10" s="440"/>
      <c r="Q10" s="215"/>
      <c r="R10" s="215"/>
      <c r="S10" s="159"/>
    </row>
    <row r="11" spans="1:19" s="160" customFormat="1" ht="12" customHeight="1" hidden="1">
      <c r="A11" s="157"/>
      <c r="B11" s="156" t="s">
        <v>120</v>
      </c>
      <c r="C11" s="451" t="s">
        <v>73</v>
      </c>
      <c r="D11" s="440"/>
      <c r="E11" s="215"/>
      <c r="F11" s="215"/>
      <c r="G11" s="215"/>
      <c r="H11" s="494"/>
      <c r="I11" s="479"/>
      <c r="J11" s="440"/>
      <c r="K11" s="215"/>
      <c r="L11" s="215"/>
      <c r="M11" s="215"/>
      <c r="N11" s="494"/>
      <c r="O11" s="479"/>
      <c r="P11" s="440"/>
      <c r="Q11" s="215"/>
      <c r="R11" s="215"/>
      <c r="S11" s="159"/>
    </row>
    <row r="12" spans="1:19" s="160" customFormat="1" ht="12" customHeight="1" hidden="1" thickBot="1">
      <c r="A12" s="157"/>
      <c r="B12" s="156" t="s">
        <v>121</v>
      </c>
      <c r="C12" s="451" t="s">
        <v>119</v>
      </c>
      <c r="D12" s="440"/>
      <c r="E12" s="215"/>
      <c r="F12" s="215"/>
      <c r="G12" s="215"/>
      <c r="H12" s="494"/>
      <c r="I12" s="485"/>
      <c r="J12" s="440"/>
      <c r="K12" s="215"/>
      <c r="L12" s="215"/>
      <c r="M12" s="215"/>
      <c r="N12" s="494"/>
      <c r="O12" s="485"/>
      <c r="P12" s="440"/>
      <c r="Q12" s="215"/>
      <c r="R12" s="215"/>
      <c r="S12" s="159"/>
    </row>
    <row r="13" spans="1:19" s="160" customFormat="1" ht="12" customHeight="1" hidden="1" thickBot="1">
      <c r="A13" s="163" t="s">
        <v>11</v>
      </c>
      <c r="B13" s="164"/>
      <c r="C13" s="449" t="s">
        <v>122</v>
      </c>
      <c r="D13" s="438">
        <f aca="true" t="shared" si="1" ref="D13:M13">SUM(D14:D15)</f>
        <v>0</v>
      </c>
      <c r="E13" s="214">
        <f t="shared" si="1"/>
        <v>0</v>
      </c>
      <c r="F13" s="214">
        <f t="shared" si="1"/>
        <v>0</v>
      </c>
      <c r="G13" s="214">
        <f>SUM(G14:G15)</f>
        <v>0</v>
      </c>
      <c r="H13" s="493"/>
      <c r="I13" s="370"/>
      <c r="J13" s="438">
        <f t="shared" si="1"/>
        <v>0</v>
      </c>
      <c r="K13" s="214">
        <f t="shared" si="1"/>
        <v>0</v>
      </c>
      <c r="L13" s="214">
        <f t="shared" si="1"/>
        <v>0</v>
      </c>
      <c r="M13" s="214">
        <f t="shared" si="1"/>
        <v>0</v>
      </c>
      <c r="N13" s="493"/>
      <c r="O13" s="370"/>
      <c r="P13" s="438"/>
      <c r="Q13" s="214"/>
      <c r="R13" s="214"/>
      <c r="S13" s="153"/>
    </row>
    <row r="14" spans="1:19" s="154" customFormat="1" ht="12" customHeight="1" hidden="1">
      <c r="A14" s="165"/>
      <c r="B14" s="166" t="s">
        <v>123</v>
      </c>
      <c r="C14" s="468" t="s">
        <v>124</v>
      </c>
      <c r="D14" s="441"/>
      <c r="E14" s="216"/>
      <c r="F14" s="216"/>
      <c r="G14" s="216"/>
      <c r="H14" s="495"/>
      <c r="I14" s="459"/>
      <c r="J14" s="441"/>
      <c r="K14" s="216"/>
      <c r="L14" s="216"/>
      <c r="M14" s="216"/>
      <c r="N14" s="495"/>
      <c r="O14" s="459"/>
      <c r="P14" s="441"/>
      <c r="Q14" s="216"/>
      <c r="R14" s="216"/>
      <c r="S14" s="168"/>
    </row>
    <row r="15" spans="1:19" s="154" customFormat="1" ht="12" customHeight="1" hidden="1" thickBot="1">
      <c r="A15" s="169"/>
      <c r="B15" s="170" t="s">
        <v>125</v>
      </c>
      <c r="C15" s="469" t="s">
        <v>126</v>
      </c>
      <c r="D15" s="442"/>
      <c r="E15" s="217"/>
      <c r="F15" s="217"/>
      <c r="G15" s="217"/>
      <c r="H15" s="496"/>
      <c r="I15" s="485"/>
      <c r="J15" s="442"/>
      <c r="K15" s="217"/>
      <c r="L15" s="217"/>
      <c r="M15" s="217"/>
      <c r="N15" s="496"/>
      <c r="O15" s="485"/>
      <c r="P15" s="442"/>
      <c r="Q15" s="217"/>
      <c r="R15" s="217"/>
      <c r="S15" s="172"/>
    </row>
    <row r="16" spans="1:19" s="154" customFormat="1" ht="12" customHeight="1" hidden="1" thickBot="1">
      <c r="A16" s="163" t="s">
        <v>12</v>
      </c>
      <c r="B16" s="151"/>
      <c r="C16" s="449" t="s">
        <v>127</v>
      </c>
      <c r="D16" s="443"/>
      <c r="E16" s="218"/>
      <c r="F16" s="218"/>
      <c r="G16" s="218"/>
      <c r="H16" s="497"/>
      <c r="I16" s="370"/>
      <c r="J16" s="443"/>
      <c r="K16" s="218"/>
      <c r="L16" s="218"/>
      <c r="M16" s="218"/>
      <c r="N16" s="497" t="s">
        <v>248</v>
      </c>
      <c r="O16" s="370"/>
      <c r="P16" s="443"/>
      <c r="Q16" s="218"/>
      <c r="R16" s="218"/>
      <c r="S16" s="173"/>
    </row>
    <row r="17" spans="1:19" s="154" customFormat="1" ht="12" customHeight="1" hidden="1" thickBot="1">
      <c r="A17" s="145" t="s">
        <v>13</v>
      </c>
      <c r="B17" s="174"/>
      <c r="C17" s="449" t="s">
        <v>128</v>
      </c>
      <c r="D17" s="438">
        <f aca="true" t="shared" si="2" ref="D17:M17">D7+D8+D13+D16</f>
        <v>0</v>
      </c>
      <c r="E17" s="214">
        <f t="shared" si="2"/>
        <v>0</v>
      </c>
      <c r="F17" s="214">
        <f t="shared" si="2"/>
        <v>0</v>
      </c>
      <c r="G17" s="214">
        <f t="shared" si="2"/>
        <v>0</v>
      </c>
      <c r="H17" s="493" t="s">
        <v>248</v>
      </c>
      <c r="I17" s="370"/>
      <c r="J17" s="438">
        <f t="shared" si="2"/>
        <v>0</v>
      </c>
      <c r="K17" s="214">
        <f t="shared" si="2"/>
        <v>0</v>
      </c>
      <c r="L17" s="214">
        <f t="shared" si="2"/>
        <v>0</v>
      </c>
      <c r="M17" s="214">
        <f t="shared" si="2"/>
        <v>0</v>
      </c>
      <c r="N17" s="493" t="s">
        <v>248</v>
      </c>
      <c r="O17" s="370"/>
      <c r="P17" s="438"/>
      <c r="Q17" s="214"/>
      <c r="R17" s="214"/>
      <c r="S17" s="153"/>
    </row>
    <row r="18" spans="1:19" s="160" customFormat="1" ht="12" customHeight="1" hidden="1" thickBot="1">
      <c r="A18" s="175" t="s">
        <v>14</v>
      </c>
      <c r="B18" s="176"/>
      <c r="C18" s="470" t="s">
        <v>129</v>
      </c>
      <c r="D18" s="444">
        <f aca="true" t="shared" si="3" ref="D18:M18">SUM(D19:D20)</f>
        <v>0</v>
      </c>
      <c r="E18" s="219">
        <f t="shared" si="3"/>
        <v>0</v>
      </c>
      <c r="F18" s="219">
        <f t="shared" si="3"/>
        <v>0</v>
      </c>
      <c r="G18" s="219">
        <f>SUM(G19:G20)</f>
        <v>0</v>
      </c>
      <c r="H18" s="498" t="s">
        <v>248</v>
      </c>
      <c r="I18" s="370"/>
      <c r="J18" s="444">
        <f t="shared" si="3"/>
        <v>0</v>
      </c>
      <c r="K18" s="219">
        <f t="shared" si="3"/>
        <v>0</v>
      </c>
      <c r="L18" s="219">
        <f t="shared" si="3"/>
        <v>0</v>
      </c>
      <c r="M18" s="219">
        <f t="shared" si="3"/>
        <v>0</v>
      </c>
      <c r="N18" s="498" t="s">
        <v>248</v>
      </c>
      <c r="O18" s="370"/>
      <c r="P18" s="438"/>
      <c r="Q18" s="214"/>
      <c r="R18" s="214"/>
      <c r="S18" s="153"/>
    </row>
    <row r="19" spans="1:19" s="160" customFormat="1" ht="15" customHeight="1" hidden="1">
      <c r="A19" s="155"/>
      <c r="B19" s="178" t="s">
        <v>130</v>
      </c>
      <c r="C19" s="468" t="s">
        <v>131</v>
      </c>
      <c r="D19" s="441"/>
      <c r="E19" s="216"/>
      <c r="F19" s="216"/>
      <c r="G19" s="216"/>
      <c r="H19" s="495"/>
      <c r="I19" s="459"/>
      <c r="J19" s="441"/>
      <c r="K19" s="216"/>
      <c r="L19" s="216"/>
      <c r="M19" s="216"/>
      <c r="N19" s="495" t="s">
        <v>248</v>
      </c>
      <c r="O19" s="459"/>
      <c r="P19" s="447"/>
      <c r="Q19" s="448"/>
      <c r="R19" s="448"/>
      <c r="S19" s="275"/>
    </row>
    <row r="20" spans="1:19" s="160" customFormat="1" ht="15" customHeight="1" hidden="1" thickBot="1">
      <c r="A20" s="179"/>
      <c r="B20" s="180" t="s">
        <v>132</v>
      </c>
      <c r="C20" s="471" t="s">
        <v>133</v>
      </c>
      <c r="D20" s="445"/>
      <c r="E20" s="220"/>
      <c r="F20" s="220"/>
      <c r="G20" s="220"/>
      <c r="H20" s="499"/>
      <c r="I20" s="485"/>
      <c r="J20" s="445"/>
      <c r="K20" s="220"/>
      <c r="L20" s="220"/>
      <c r="M20" s="220"/>
      <c r="N20" s="499"/>
      <c r="O20" s="485"/>
      <c r="P20" s="445"/>
      <c r="Q20" s="220"/>
      <c r="R20" s="220"/>
      <c r="S20" s="182"/>
    </row>
    <row r="21" spans="1:19" ht="13.5" hidden="1" thickBot="1">
      <c r="A21" s="183" t="s">
        <v>57</v>
      </c>
      <c r="B21" s="307"/>
      <c r="C21" s="453" t="s">
        <v>134</v>
      </c>
      <c r="D21" s="443"/>
      <c r="E21" s="218"/>
      <c r="F21" s="218"/>
      <c r="G21" s="218"/>
      <c r="H21" s="497"/>
      <c r="I21" s="370"/>
      <c r="J21" s="443"/>
      <c r="K21" s="218"/>
      <c r="L21" s="218"/>
      <c r="M21" s="218"/>
      <c r="N21" s="497"/>
      <c r="O21" s="370"/>
      <c r="P21" s="443"/>
      <c r="Q21" s="218"/>
      <c r="R21" s="218"/>
      <c r="S21" s="173"/>
    </row>
    <row r="22" spans="1:19" s="148" customFormat="1" ht="16.5" customHeight="1" hidden="1" thickBot="1">
      <c r="A22" s="183" t="s">
        <v>58</v>
      </c>
      <c r="B22" s="308"/>
      <c r="C22" s="472" t="s">
        <v>135</v>
      </c>
      <c r="D22" s="446">
        <f aca="true" t="shared" si="4" ref="D22:M22">D17+D21+D18</f>
        <v>0</v>
      </c>
      <c r="E22" s="221">
        <f t="shared" si="4"/>
        <v>0</v>
      </c>
      <c r="F22" s="221">
        <f t="shared" si="4"/>
        <v>0</v>
      </c>
      <c r="G22" s="221">
        <f t="shared" si="4"/>
        <v>0</v>
      </c>
      <c r="H22" s="500" t="s">
        <v>248</v>
      </c>
      <c r="I22" s="370"/>
      <c r="J22" s="446">
        <f t="shared" si="4"/>
        <v>0</v>
      </c>
      <c r="K22" s="221">
        <f t="shared" si="4"/>
        <v>0</v>
      </c>
      <c r="L22" s="221">
        <f t="shared" si="4"/>
        <v>0</v>
      </c>
      <c r="M22" s="221">
        <f t="shared" si="4"/>
        <v>0</v>
      </c>
      <c r="N22" s="500" t="s">
        <v>248</v>
      </c>
      <c r="O22" s="370"/>
      <c r="P22" s="446"/>
      <c r="Q22" s="221"/>
      <c r="R22" s="221"/>
      <c r="S22" s="206"/>
    </row>
    <row r="23" spans="1:19" s="192" customFormat="1" ht="12" customHeight="1" hidden="1">
      <c r="A23" s="189"/>
      <c r="B23" s="189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</row>
    <row r="24" spans="1:18" ht="12" customHeight="1" hidden="1" thickBot="1">
      <c r="A24" s="193"/>
      <c r="B24" s="194"/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</row>
    <row r="25" spans="1:19" ht="12" customHeight="1" hidden="1" thickBot="1">
      <c r="A25" s="196"/>
      <c r="B25" s="197"/>
      <c r="C25" s="198" t="s">
        <v>136</v>
      </c>
      <c r="D25" s="212"/>
      <c r="E25" s="212"/>
      <c r="F25" s="212"/>
      <c r="G25" s="212"/>
      <c r="H25" s="212"/>
      <c r="I25" s="212"/>
      <c r="J25" s="221"/>
      <c r="K25" s="221"/>
      <c r="L25" s="212"/>
      <c r="M25" s="212"/>
      <c r="N25" s="212"/>
      <c r="O25" s="212"/>
      <c r="P25" s="188"/>
      <c r="Q25" s="188"/>
      <c r="R25" s="188"/>
      <c r="S25" s="188"/>
    </row>
    <row r="26" spans="1:19" ht="12" customHeight="1" hidden="1" thickBot="1">
      <c r="A26" s="163" t="s">
        <v>27</v>
      </c>
      <c r="B26" s="199"/>
      <c r="C26" s="449" t="s">
        <v>137</v>
      </c>
      <c r="D26" s="438">
        <f aca="true" t="shared" si="5" ref="D26:M26">SUM(D27:D31)</f>
        <v>0</v>
      </c>
      <c r="E26" s="214">
        <f t="shared" si="5"/>
        <v>0</v>
      </c>
      <c r="F26" s="214">
        <f t="shared" si="5"/>
        <v>0</v>
      </c>
      <c r="G26" s="214">
        <f>SUM(G27:G31)</f>
        <v>0</v>
      </c>
      <c r="H26" s="501" t="s">
        <v>248</v>
      </c>
      <c r="I26" s="434"/>
      <c r="J26" s="438">
        <f t="shared" si="5"/>
        <v>0</v>
      </c>
      <c r="K26" s="214">
        <f t="shared" si="5"/>
        <v>0</v>
      </c>
      <c r="L26" s="214">
        <f t="shared" si="5"/>
        <v>0</v>
      </c>
      <c r="M26" s="214">
        <f t="shared" si="5"/>
        <v>0</v>
      </c>
      <c r="N26" s="501" t="s">
        <v>248</v>
      </c>
      <c r="O26" s="434"/>
      <c r="P26" s="486"/>
      <c r="Q26" s="432"/>
      <c r="R26" s="153"/>
      <c r="S26" s="153"/>
    </row>
    <row r="27" spans="1:19" ht="12" customHeight="1" hidden="1">
      <c r="A27" s="200"/>
      <c r="B27" s="201" t="s">
        <v>111</v>
      </c>
      <c r="C27" s="450" t="s">
        <v>138</v>
      </c>
      <c r="D27" s="456"/>
      <c r="E27" s="222"/>
      <c r="F27" s="222"/>
      <c r="G27" s="222"/>
      <c r="H27" s="502"/>
      <c r="I27" s="435"/>
      <c r="J27" s="456"/>
      <c r="K27" s="222"/>
      <c r="L27" s="222"/>
      <c r="M27" s="222"/>
      <c r="N27" s="502"/>
      <c r="O27" s="435"/>
      <c r="P27" s="487"/>
      <c r="Q27" s="461"/>
      <c r="R27" s="159"/>
      <c r="S27" s="159"/>
    </row>
    <row r="28" spans="1:19" ht="12" customHeight="1" hidden="1">
      <c r="A28" s="202"/>
      <c r="B28" s="203" t="s">
        <v>112</v>
      </c>
      <c r="C28" s="451" t="s">
        <v>51</v>
      </c>
      <c r="D28" s="457"/>
      <c r="E28" s="223"/>
      <c r="F28" s="223"/>
      <c r="G28" s="223"/>
      <c r="H28" s="503"/>
      <c r="I28" s="475"/>
      <c r="J28" s="457"/>
      <c r="K28" s="223"/>
      <c r="L28" s="223"/>
      <c r="M28" s="223"/>
      <c r="N28" s="503"/>
      <c r="O28" s="475"/>
      <c r="P28" s="487"/>
      <c r="Q28" s="461"/>
      <c r="R28" s="159"/>
      <c r="S28" s="159"/>
    </row>
    <row r="29" spans="1:19" ht="12" customHeight="1" hidden="1">
      <c r="A29" s="202"/>
      <c r="B29" s="203" t="s">
        <v>113</v>
      </c>
      <c r="C29" s="451" t="s">
        <v>139</v>
      </c>
      <c r="D29" s="457"/>
      <c r="E29" s="223"/>
      <c r="F29" s="223"/>
      <c r="G29" s="223"/>
      <c r="H29" s="503"/>
      <c r="I29" s="475"/>
      <c r="J29" s="457"/>
      <c r="K29" s="223"/>
      <c r="L29" s="223"/>
      <c r="M29" s="223"/>
      <c r="N29" s="503"/>
      <c r="O29" s="475"/>
      <c r="P29" s="487"/>
      <c r="Q29" s="461"/>
      <c r="R29" s="159"/>
      <c r="S29" s="159"/>
    </row>
    <row r="30" spans="1:19" s="192" customFormat="1" ht="12" customHeight="1" hidden="1">
      <c r="A30" s="202"/>
      <c r="B30" s="203" t="s">
        <v>114</v>
      </c>
      <c r="C30" s="451" t="s">
        <v>81</v>
      </c>
      <c r="D30" s="457"/>
      <c r="E30" s="223"/>
      <c r="F30" s="223"/>
      <c r="G30" s="223"/>
      <c r="H30" s="503"/>
      <c r="I30" s="476"/>
      <c r="J30" s="457"/>
      <c r="K30" s="223"/>
      <c r="L30" s="223"/>
      <c r="M30" s="223"/>
      <c r="N30" s="503"/>
      <c r="O30" s="476"/>
      <c r="P30" s="487"/>
      <c r="Q30" s="461"/>
      <c r="R30" s="159"/>
      <c r="S30" s="159"/>
    </row>
    <row r="31" spans="1:19" ht="12" customHeight="1" hidden="1" thickBot="1">
      <c r="A31" s="202"/>
      <c r="B31" s="203" t="s">
        <v>50</v>
      </c>
      <c r="C31" s="451" t="s">
        <v>83</v>
      </c>
      <c r="D31" s="457"/>
      <c r="E31" s="223"/>
      <c r="F31" s="223"/>
      <c r="G31" s="223"/>
      <c r="H31" s="503"/>
      <c r="I31" s="477"/>
      <c r="J31" s="457"/>
      <c r="K31" s="223"/>
      <c r="L31" s="223"/>
      <c r="M31" s="223"/>
      <c r="N31" s="503"/>
      <c r="O31" s="477"/>
      <c r="P31" s="488"/>
      <c r="Q31" s="462"/>
      <c r="R31" s="204"/>
      <c r="S31" s="204"/>
    </row>
    <row r="32" spans="1:19" ht="12" customHeight="1" hidden="1" thickBot="1">
      <c r="A32" s="163" t="s">
        <v>28</v>
      </c>
      <c r="B32" s="199"/>
      <c r="C32" s="449" t="s">
        <v>140</v>
      </c>
      <c r="D32" s="438">
        <f>SUM(D33:D36)</f>
        <v>0</v>
      </c>
      <c r="E32" s="214">
        <f>SUM(E33:E36)</f>
        <v>0</v>
      </c>
      <c r="F32" s="214">
        <f>SUM(F33:F36)</f>
        <v>0</v>
      </c>
      <c r="G32" s="214">
        <f>SUM(G33:G36)</f>
        <v>0</v>
      </c>
      <c r="H32" s="501"/>
      <c r="I32" s="436"/>
      <c r="J32" s="438"/>
      <c r="K32" s="214"/>
      <c r="L32" s="214">
        <f>SUM(L33:L36)</f>
        <v>0</v>
      </c>
      <c r="M32" s="214">
        <f>SUM(M33:M36)</f>
        <v>0</v>
      </c>
      <c r="N32" s="501"/>
      <c r="O32" s="436"/>
      <c r="P32" s="486"/>
      <c r="Q32" s="432"/>
      <c r="R32" s="153"/>
      <c r="S32" s="153"/>
    </row>
    <row r="33" spans="1:19" ht="12" customHeight="1" hidden="1">
      <c r="A33" s="200"/>
      <c r="B33" s="201" t="s">
        <v>141</v>
      </c>
      <c r="C33" s="450" t="s">
        <v>93</v>
      </c>
      <c r="D33" s="456"/>
      <c r="E33" s="222"/>
      <c r="F33" s="222"/>
      <c r="G33" s="222"/>
      <c r="H33" s="502"/>
      <c r="I33" s="476"/>
      <c r="J33" s="456"/>
      <c r="K33" s="222"/>
      <c r="L33" s="222"/>
      <c r="M33" s="222"/>
      <c r="N33" s="502"/>
      <c r="O33" s="476"/>
      <c r="P33" s="487"/>
      <c r="Q33" s="461"/>
      <c r="R33" s="159"/>
      <c r="S33" s="159"/>
    </row>
    <row r="34" spans="1:19" ht="12" customHeight="1" hidden="1">
      <c r="A34" s="202"/>
      <c r="B34" s="203" t="s">
        <v>142</v>
      </c>
      <c r="C34" s="451" t="s">
        <v>94</v>
      </c>
      <c r="D34" s="457">
        <v>0</v>
      </c>
      <c r="E34" s="223">
        <v>0</v>
      </c>
      <c r="F34" s="223">
        <v>0</v>
      </c>
      <c r="G34" s="223">
        <v>0</v>
      </c>
      <c r="H34" s="503"/>
      <c r="I34" s="477"/>
      <c r="J34" s="457"/>
      <c r="K34" s="223"/>
      <c r="L34" s="223">
        <v>0</v>
      </c>
      <c r="M34" s="223">
        <v>0</v>
      </c>
      <c r="N34" s="503"/>
      <c r="O34" s="477"/>
      <c r="P34" s="488"/>
      <c r="Q34" s="462"/>
      <c r="R34" s="204"/>
      <c r="S34" s="204"/>
    </row>
    <row r="35" spans="1:19" ht="15" customHeight="1" hidden="1">
      <c r="A35" s="202"/>
      <c r="B35" s="203" t="s">
        <v>143</v>
      </c>
      <c r="C35" s="451" t="s">
        <v>144</v>
      </c>
      <c r="D35" s="457"/>
      <c r="E35" s="223"/>
      <c r="F35" s="223"/>
      <c r="G35" s="223"/>
      <c r="H35" s="503"/>
      <c r="I35" s="477"/>
      <c r="J35" s="457"/>
      <c r="K35" s="223"/>
      <c r="L35" s="223"/>
      <c r="M35" s="223"/>
      <c r="N35" s="503"/>
      <c r="O35" s="477"/>
      <c r="P35" s="488"/>
      <c r="Q35" s="462"/>
      <c r="R35" s="204"/>
      <c r="S35" s="204"/>
    </row>
    <row r="36" spans="1:19" ht="13.5" hidden="1" thickBot="1">
      <c r="A36" s="202"/>
      <c r="B36" s="203" t="s">
        <v>145</v>
      </c>
      <c r="C36" s="451" t="s">
        <v>146</v>
      </c>
      <c r="D36" s="457"/>
      <c r="E36" s="223"/>
      <c r="F36" s="223"/>
      <c r="G36" s="223"/>
      <c r="H36" s="503"/>
      <c r="I36" s="477"/>
      <c r="J36" s="457"/>
      <c r="K36" s="223"/>
      <c r="L36" s="223"/>
      <c r="M36" s="223"/>
      <c r="N36" s="503"/>
      <c r="O36" s="477"/>
      <c r="P36" s="488"/>
      <c r="Q36" s="462"/>
      <c r="R36" s="204"/>
      <c r="S36" s="204"/>
    </row>
    <row r="37" spans="1:19" ht="15" customHeight="1" hidden="1" thickBot="1">
      <c r="A37" s="163" t="s">
        <v>10</v>
      </c>
      <c r="B37" s="199"/>
      <c r="C37" s="452" t="s">
        <v>235</v>
      </c>
      <c r="D37" s="443"/>
      <c r="E37" s="218"/>
      <c r="F37" s="218"/>
      <c r="G37" s="218"/>
      <c r="H37" s="504" t="s">
        <v>248</v>
      </c>
      <c r="I37" s="434"/>
      <c r="J37" s="443"/>
      <c r="K37" s="218"/>
      <c r="L37" s="218"/>
      <c r="M37" s="218"/>
      <c r="N37" s="504" t="s">
        <v>248</v>
      </c>
      <c r="O37" s="434"/>
      <c r="P37" s="489"/>
      <c r="Q37" s="433"/>
      <c r="R37" s="173"/>
      <c r="S37" s="173"/>
    </row>
    <row r="38" spans="1:19" ht="14.25" customHeight="1" hidden="1" thickBot="1">
      <c r="A38" s="183" t="s">
        <v>11</v>
      </c>
      <c r="B38" s="307"/>
      <c r="C38" s="453" t="s">
        <v>148</v>
      </c>
      <c r="D38" s="443"/>
      <c r="E38" s="218"/>
      <c r="F38" s="218"/>
      <c r="G38" s="218"/>
      <c r="H38" s="504"/>
      <c r="I38" s="434"/>
      <c r="J38" s="443"/>
      <c r="K38" s="218"/>
      <c r="L38" s="218"/>
      <c r="M38" s="218"/>
      <c r="N38" s="504"/>
      <c r="O38" s="434"/>
      <c r="P38" s="489"/>
      <c r="Q38" s="433"/>
      <c r="R38" s="173"/>
      <c r="S38" s="173"/>
    </row>
    <row r="39" spans="1:19" ht="13.5" hidden="1" thickBot="1">
      <c r="A39" s="163" t="s">
        <v>12</v>
      </c>
      <c r="B39" s="205"/>
      <c r="C39" s="454" t="s">
        <v>149</v>
      </c>
      <c r="D39" s="446">
        <f aca="true" t="shared" si="6" ref="D39:M39">D26+D32+D37+D38</f>
        <v>0</v>
      </c>
      <c r="E39" s="221">
        <f t="shared" si="6"/>
        <v>0</v>
      </c>
      <c r="F39" s="221">
        <f t="shared" si="6"/>
        <v>0</v>
      </c>
      <c r="G39" s="221">
        <f t="shared" si="6"/>
        <v>0</v>
      </c>
      <c r="H39" s="505" t="s">
        <v>248</v>
      </c>
      <c r="I39" s="434"/>
      <c r="J39" s="446">
        <f t="shared" si="6"/>
        <v>0</v>
      </c>
      <c r="K39" s="221">
        <f t="shared" si="6"/>
        <v>0</v>
      </c>
      <c r="L39" s="221">
        <f t="shared" si="6"/>
        <v>0</v>
      </c>
      <c r="M39" s="221">
        <f t="shared" si="6"/>
        <v>0</v>
      </c>
      <c r="N39" s="505" t="s">
        <v>248</v>
      </c>
      <c r="O39" s="434"/>
      <c r="P39" s="490"/>
      <c r="Q39" s="188"/>
      <c r="R39" s="206"/>
      <c r="S39" s="206"/>
    </row>
    <row r="40" spans="1:19" ht="13.5" hidden="1" thickBot="1">
      <c r="A40" s="309"/>
      <c r="B40" s="310"/>
      <c r="C40" s="310"/>
      <c r="D40" s="481"/>
      <c r="E40" s="482"/>
      <c r="F40" s="482"/>
      <c r="G40" s="482"/>
      <c r="H40" s="506"/>
      <c r="I40" s="311"/>
      <c r="J40" s="481"/>
      <c r="K40" s="482"/>
      <c r="L40" s="482"/>
      <c r="M40" s="482"/>
      <c r="N40" s="506"/>
      <c r="O40" s="311"/>
      <c r="P40" s="491"/>
      <c r="Q40" s="311"/>
      <c r="R40" s="311"/>
      <c r="S40" s="311"/>
    </row>
    <row r="41" spans="1:19" ht="13.5" hidden="1" thickBot="1">
      <c r="A41" s="209" t="s">
        <v>150</v>
      </c>
      <c r="B41" s="210"/>
      <c r="C41" s="455"/>
      <c r="D41" s="465"/>
      <c r="E41" s="226"/>
      <c r="F41" s="226"/>
      <c r="G41" s="226"/>
      <c r="H41" s="507"/>
      <c r="I41" s="434"/>
      <c r="J41" s="465"/>
      <c r="K41" s="226"/>
      <c r="L41" s="226"/>
      <c r="M41" s="226"/>
      <c r="N41" s="507"/>
      <c r="O41" s="434"/>
      <c r="P41" s="492"/>
      <c r="Q41" s="225"/>
      <c r="R41" s="225"/>
      <c r="S41" s="225"/>
    </row>
    <row r="42" spans="1:19" ht="13.5" hidden="1" thickBot="1">
      <c r="A42" s="209" t="s">
        <v>151</v>
      </c>
      <c r="B42" s="210"/>
      <c r="C42" s="455"/>
      <c r="D42" s="465"/>
      <c r="E42" s="226"/>
      <c r="F42" s="226"/>
      <c r="G42" s="226"/>
      <c r="H42" s="507"/>
      <c r="I42" s="434"/>
      <c r="J42" s="465"/>
      <c r="K42" s="226"/>
      <c r="L42" s="226"/>
      <c r="M42" s="226"/>
      <c r="N42" s="507"/>
      <c r="O42" s="434"/>
      <c r="P42" s="492"/>
      <c r="Q42" s="225"/>
      <c r="R42" s="225"/>
      <c r="S42" s="225"/>
    </row>
    <row r="43" ht="12.75" hidden="1"/>
    <row r="44" spans="1:9" ht="12.75" hidden="1">
      <c r="A44" s="1522" t="s">
        <v>152</v>
      </c>
      <c r="B44" s="1522"/>
      <c r="C44" s="1522"/>
      <c r="D44" s="1522"/>
      <c r="E44" s="295"/>
      <c r="F44" s="295"/>
      <c r="G44" s="295"/>
      <c r="H44" s="295"/>
      <c r="I44" s="295"/>
    </row>
    <row r="45" spans="1:9" ht="12.75" hidden="1">
      <c r="A45" s="1522"/>
      <c r="B45" s="1522"/>
      <c r="C45" s="1522"/>
      <c r="E45" s="313"/>
      <c r="F45" s="313"/>
      <c r="G45" s="313"/>
      <c r="H45" s="313"/>
      <c r="I45" s="313"/>
    </row>
    <row r="46" spans="4:9" ht="12.75" hidden="1">
      <c r="D46" s="313">
        <v>0</v>
      </c>
      <c r="E46" s="313"/>
      <c r="F46" s="313"/>
      <c r="G46" s="313"/>
      <c r="H46" s="313"/>
      <c r="I46" s="313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="75" zoomScaleNormal="75" zoomScalePageLayoutView="0" workbookViewId="0" topLeftCell="E1">
      <selection activeCell="A2" sqref="A2:U2"/>
    </sheetView>
  </sheetViews>
  <sheetFormatPr defaultColWidth="9.140625" defaultRowHeight="12.75"/>
  <cols>
    <col min="1" max="2" width="5.7109375" style="949" customWidth="1"/>
    <col min="3" max="3" width="8.8515625" style="949" customWidth="1"/>
    <col min="4" max="4" width="56.00390625" style="950" bestFit="1" customWidth="1"/>
    <col min="5" max="5" width="22.57421875" style="314" customWidth="1"/>
    <col min="6" max="6" width="19.00390625" style="314" hidden="1" customWidth="1"/>
    <col min="7" max="7" width="17.421875" style="314" hidden="1" customWidth="1"/>
    <col min="8" max="9" width="17.8515625" style="314" hidden="1" customWidth="1"/>
    <col min="10" max="13" width="17.8515625" style="314" customWidth="1"/>
    <col min="14" max="17" width="17.8515625" style="314" hidden="1" customWidth="1"/>
    <col min="18" max="20" width="17.8515625" style="314" customWidth="1"/>
    <col min="21" max="21" width="17.8515625" style="903" customWidth="1"/>
    <col min="22" max="24" width="17.8515625" style="314" hidden="1" customWidth="1"/>
    <col min="25" max="25" width="17.8515625" style="903" hidden="1" customWidth="1"/>
    <col min="26" max="29" width="17.8515625" style="903" customWidth="1"/>
    <col min="30" max="16384" width="9.140625" style="903" customWidth="1"/>
  </cols>
  <sheetData>
    <row r="1" spans="1:25" ht="12.75">
      <c r="A1" s="901"/>
      <c r="B1" s="901"/>
      <c r="C1" s="901"/>
      <c r="D1" s="902"/>
      <c r="U1" s="1511" t="s">
        <v>1443</v>
      </c>
      <c r="V1" s="1511"/>
      <c r="W1" s="1511"/>
      <c r="X1" s="1511"/>
      <c r="Y1" s="1511"/>
    </row>
    <row r="2" spans="1:24" s="906" customFormat="1" ht="34.5" customHeight="1">
      <c r="A2" s="1514" t="s">
        <v>541</v>
      </c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  <c r="P2" s="1514"/>
      <c r="Q2" s="1514"/>
      <c r="R2" s="1514"/>
      <c r="S2" s="1514"/>
      <c r="T2" s="1514"/>
      <c r="U2" s="1514"/>
      <c r="V2" s="904"/>
      <c r="W2" s="905"/>
      <c r="X2" s="905"/>
    </row>
    <row r="3" spans="1:21" ht="13.5" thickBot="1">
      <c r="A3" s="907"/>
      <c r="B3" s="907"/>
      <c r="C3" s="907"/>
      <c r="D3" s="908"/>
      <c r="M3" s="909"/>
      <c r="N3" s="909"/>
      <c r="O3" s="909"/>
      <c r="P3" s="909"/>
      <c r="Q3" s="909"/>
      <c r="R3" s="909"/>
      <c r="S3" s="909"/>
      <c r="T3" s="909"/>
      <c r="U3" s="38" t="s">
        <v>449</v>
      </c>
    </row>
    <row r="4" spans="1:28" ht="45.75" customHeight="1" thickBot="1">
      <c r="A4" s="1431" t="s">
        <v>6</v>
      </c>
      <c r="B4" s="1432"/>
      <c r="C4" s="1432"/>
      <c r="D4" s="319" t="s">
        <v>9</v>
      </c>
      <c r="E4" s="1434" t="s">
        <v>5</v>
      </c>
      <c r="F4" s="1435"/>
      <c r="G4" s="1435"/>
      <c r="H4" s="1435"/>
      <c r="I4" s="1435"/>
      <c r="J4" s="1435"/>
      <c r="K4" s="1436"/>
      <c r="L4" s="1437"/>
      <c r="M4" s="1434" t="s">
        <v>61</v>
      </c>
      <c r="N4" s="1435"/>
      <c r="O4" s="1435"/>
      <c r="P4" s="1435"/>
      <c r="Q4" s="1435"/>
      <c r="R4" s="1435"/>
      <c r="S4" s="1436"/>
      <c r="T4" s="1437"/>
      <c r="U4" s="1434" t="s">
        <v>62</v>
      </c>
      <c r="V4" s="1435"/>
      <c r="W4" s="1435"/>
      <c r="X4" s="1435"/>
      <c r="Y4" s="1435"/>
      <c r="Z4" s="1435"/>
      <c r="AA4" s="1436"/>
      <c r="AB4" s="1437"/>
    </row>
    <row r="5" spans="1:28" ht="45.75" customHeight="1" thickBot="1">
      <c r="A5" s="301"/>
      <c r="B5" s="302"/>
      <c r="C5" s="302"/>
      <c r="D5" s="319"/>
      <c r="E5" s="353" t="s">
        <v>65</v>
      </c>
      <c r="F5" s="354" t="s">
        <v>227</v>
      </c>
      <c r="G5" s="354" t="s">
        <v>232</v>
      </c>
      <c r="H5" s="354" t="s">
        <v>234</v>
      </c>
      <c r="I5" s="354" t="s">
        <v>439</v>
      </c>
      <c r="J5" s="354" t="s">
        <v>442</v>
      </c>
      <c r="K5" s="1097" t="s">
        <v>401</v>
      </c>
      <c r="L5" s="355" t="s">
        <v>436</v>
      </c>
      <c r="M5" s="353" t="s">
        <v>65</v>
      </c>
      <c r="N5" s="354" t="s">
        <v>227</v>
      </c>
      <c r="O5" s="354" t="s">
        <v>232</v>
      </c>
      <c r="P5" s="354" t="s">
        <v>234</v>
      </c>
      <c r="Q5" s="354" t="s">
        <v>439</v>
      </c>
      <c r="R5" s="354" t="s">
        <v>443</v>
      </c>
      <c r="S5" s="1097" t="s">
        <v>401</v>
      </c>
      <c r="T5" s="355" t="s">
        <v>436</v>
      </c>
      <c r="U5" s="353" t="s">
        <v>65</v>
      </c>
      <c r="V5" s="354" t="s">
        <v>227</v>
      </c>
      <c r="W5" s="354" t="s">
        <v>232</v>
      </c>
      <c r="X5" s="354" t="s">
        <v>234</v>
      </c>
      <c r="Y5" s="354" t="s">
        <v>439</v>
      </c>
      <c r="Z5" s="354" t="s">
        <v>443</v>
      </c>
      <c r="AA5" s="1097" t="s">
        <v>401</v>
      </c>
      <c r="AB5" s="355" t="s">
        <v>436</v>
      </c>
    </row>
    <row r="6" spans="1:28" s="913" customFormat="1" ht="21.75" customHeight="1" thickBot="1">
      <c r="A6" s="96"/>
      <c r="B6" s="1433"/>
      <c r="C6" s="1433"/>
      <c r="D6" s="1433"/>
      <c r="E6" s="910"/>
      <c r="F6" s="911"/>
      <c r="G6" s="911"/>
      <c r="H6" s="911"/>
      <c r="I6" s="911"/>
      <c r="J6" s="911"/>
      <c r="K6" s="1098"/>
      <c r="L6" s="912"/>
      <c r="M6" s="910"/>
      <c r="N6" s="911"/>
      <c r="O6" s="911"/>
      <c r="P6" s="911"/>
      <c r="Q6" s="911"/>
      <c r="R6" s="911"/>
      <c r="S6" s="1098"/>
      <c r="T6" s="912"/>
      <c r="U6" s="910"/>
      <c r="V6" s="911"/>
      <c r="W6" s="911"/>
      <c r="X6" s="911"/>
      <c r="Y6" s="911"/>
      <c r="Z6" s="911"/>
      <c r="AA6" s="1098"/>
      <c r="AB6" s="912"/>
    </row>
    <row r="7" spans="1:28" s="913" customFormat="1" ht="21.75" customHeight="1" thickBot="1">
      <c r="A7" s="96" t="s">
        <v>27</v>
      </c>
      <c r="B7" s="1433" t="s">
        <v>282</v>
      </c>
      <c r="C7" s="1433"/>
      <c r="D7" s="1433"/>
      <c r="E7" s="910">
        <f aca="true" t="shared" si="0" ref="E7:J7">E8+E13+E16+E17+E20</f>
        <v>171760000</v>
      </c>
      <c r="F7" s="911">
        <f t="shared" si="0"/>
        <v>171760000</v>
      </c>
      <c r="G7" s="911">
        <f t="shared" si="0"/>
        <v>174481890</v>
      </c>
      <c r="H7" s="911">
        <f t="shared" si="0"/>
        <v>174481890</v>
      </c>
      <c r="I7" s="911">
        <f t="shared" si="0"/>
        <v>174992890</v>
      </c>
      <c r="J7" s="911">
        <f t="shared" si="0"/>
        <v>189188503</v>
      </c>
      <c r="K7" s="911">
        <f>K8+K13+K16+K17+K20</f>
        <v>183863379</v>
      </c>
      <c r="L7" s="1173">
        <f>+K7/J7</f>
        <v>0.9718528139101561</v>
      </c>
      <c r="M7" s="910">
        <f aca="true" t="shared" si="1" ref="M7:S7">M8+M13+M16+M17+M20</f>
        <v>150814518</v>
      </c>
      <c r="N7" s="911">
        <f t="shared" si="1"/>
        <v>148824015</v>
      </c>
      <c r="O7" s="911">
        <f t="shared" si="1"/>
        <v>151701162</v>
      </c>
      <c r="P7" s="911">
        <f t="shared" si="1"/>
        <v>151701159</v>
      </c>
      <c r="Q7" s="911">
        <f t="shared" si="1"/>
        <v>152142156</v>
      </c>
      <c r="R7" s="911">
        <f t="shared" si="1"/>
        <v>169418872</v>
      </c>
      <c r="S7" s="911">
        <f t="shared" si="1"/>
        <v>164093748</v>
      </c>
      <c r="T7" s="1173">
        <f>+S7/R7</f>
        <v>0.9685682950362224</v>
      </c>
      <c r="U7" s="910">
        <f aca="true" t="shared" si="2" ref="U7:Z7">U8+U13+U16</f>
        <v>20945482</v>
      </c>
      <c r="V7" s="911">
        <f t="shared" si="2"/>
        <v>22935985</v>
      </c>
      <c r="W7" s="911">
        <f t="shared" si="2"/>
        <v>22780728</v>
      </c>
      <c r="X7" s="911">
        <f t="shared" si="2"/>
        <v>22780731</v>
      </c>
      <c r="Y7" s="911">
        <f t="shared" si="2"/>
        <v>22850734</v>
      </c>
      <c r="Z7" s="911">
        <f t="shared" si="2"/>
        <v>19769631</v>
      </c>
      <c r="AA7" s="911">
        <f>AA8+AA13+AA16</f>
        <v>19769631</v>
      </c>
      <c r="AB7" s="1173">
        <f>+AA7/Z7</f>
        <v>1</v>
      </c>
    </row>
    <row r="8" spans="1:28" ht="21.75" customHeight="1">
      <c r="A8" s="914"/>
      <c r="B8" s="241" t="s">
        <v>36</v>
      </c>
      <c r="C8" s="1452" t="s">
        <v>283</v>
      </c>
      <c r="D8" s="1452"/>
      <c r="E8" s="915">
        <f aca="true" t="shared" si="3" ref="E8:J8">SUM(E9:E12)</f>
        <v>17500000</v>
      </c>
      <c r="F8" s="916">
        <f t="shared" si="3"/>
        <v>17500000</v>
      </c>
      <c r="G8" s="916">
        <f t="shared" si="3"/>
        <v>17500000</v>
      </c>
      <c r="H8" s="916">
        <f t="shared" si="3"/>
        <v>17500000</v>
      </c>
      <c r="I8" s="916">
        <f t="shared" si="3"/>
        <v>17500000</v>
      </c>
      <c r="J8" s="915">
        <f t="shared" si="3"/>
        <v>19179992</v>
      </c>
      <c r="K8" s="915">
        <f>SUM(K9:K12)</f>
        <v>18784044</v>
      </c>
      <c r="L8" s="1174">
        <f aca="true" t="shared" si="4" ref="L8:L62">+K8/J8</f>
        <v>0.9793561957690076</v>
      </c>
      <c r="M8" s="915">
        <f aca="true" t="shared" si="5" ref="M8:S8">SUM(M9:M12)</f>
        <v>17500000</v>
      </c>
      <c r="N8" s="916">
        <f t="shared" si="5"/>
        <v>17500000</v>
      </c>
      <c r="O8" s="916">
        <f t="shared" si="5"/>
        <v>17500000</v>
      </c>
      <c r="P8" s="916">
        <f t="shared" si="5"/>
        <v>17500000</v>
      </c>
      <c r="Q8" s="916">
        <f t="shared" si="5"/>
        <v>17500000</v>
      </c>
      <c r="R8" s="916">
        <f t="shared" si="5"/>
        <v>19179992</v>
      </c>
      <c r="S8" s="916">
        <f t="shared" si="5"/>
        <v>18784044</v>
      </c>
      <c r="T8" s="1174">
        <f aca="true" t="shared" si="6" ref="T8:T62">+S8/R8</f>
        <v>0.9793561957690076</v>
      </c>
      <c r="U8" s="915">
        <v>0</v>
      </c>
      <c r="V8" s="916">
        <v>0</v>
      </c>
      <c r="W8" s="916">
        <v>0</v>
      </c>
      <c r="X8" s="916">
        <v>0</v>
      </c>
      <c r="Y8" s="916">
        <v>0</v>
      </c>
      <c r="Z8" s="916"/>
      <c r="AA8" s="916"/>
      <c r="AB8" s="1174"/>
    </row>
    <row r="9" spans="1:28" ht="21.75" customHeight="1">
      <c r="A9" s="917"/>
      <c r="B9" s="89"/>
      <c r="C9" s="89" t="s">
        <v>288</v>
      </c>
      <c r="D9" s="320" t="s">
        <v>284</v>
      </c>
      <c r="E9" s="918">
        <v>0</v>
      </c>
      <c r="F9" s="919">
        <v>0</v>
      </c>
      <c r="G9" s="919">
        <v>0</v>
      </c>
      <c r="H9" s="919">
        <v>0</v>
      </c>
      <c r="I9" s="919">
        <v>0</v>
      </c>
      <c r="J9" s="919">
        <v>0</v>
      </c>
      <c r="K9" s="919">
        <v>0</v>
      </c>
      <c r="L9" s="1175"/>
      <c r="M9" s="918">
        <v>0</v>
      </c>
      <c r="N9" s="919">
        <v>0</v>
      </c>
      <c r="O9" s="919">
        <v>0</v>
      </c>
      <c r="P9" s="919">
        <v>0</v>
      </c>
      <c r="Q9" s="919">
        <v>0</v>
      </c>
      <c r="R9" s="919">
        <v>0</v>
      </c>
      <c r="S9" s="919">
        <v>0</v>
      </c>
      <c r="T9" s="1175"/>
      <c r="U9" s="918">
        <v>0</v>
      </c>
      <c r="V9" s="919">
        <v>0</v>
      </c>
      <c r="W9" s="919">
        <v>0</v>
      </c>
      <c r="X9" s="919">
        <v>0</v>
      </c>
      <c r="Y9" s="919">
        <v>0</v>
      </c>
      <c r="Z9" s="919"/>
      <c r="AA9" s="919"/>
      <c r="AB9" s="1175"/>
    </row>
    <row r="10" spans="1:28" ht="21.75" customHeight="1">
      <c r="A10" s="917"/>
      <c r="B10" s="89"/>
      <c r="C10" s="89" t="s">
        <v>289</v>
      </c>
      <c r="D10" s="320" t="s">
        <v>269</v>
      </c>
      <c r="E10" s="918">
        <v>0</v>
      </c>
      <c r="F10" s="919">
        <v>0</v>
      </c>
      <c r="G10" s="919">
        <v>0</v>
      </c>
      <c r="H10" s="919">
        <v>0</v>
      </c>
      <c r="I10" s="919">
        <v>0</v>
      </c>
      <c r="J10" s="919">
        <v>0</v>
      </c>
      <c r="K10" s="919">
        <v>0</v>
      </c>
      <c r="L10" s="1175"/>
      <c r="M10" s="918">
        <v>0</v>
      </c>
      <c r="N10" s="919">
        <v>0</v>
      </c>
      <c r="O10" s="919">
        <v>0</v>
      </c>
      <c r="P10" s="919">
        <v>0</v>
      </c>
      <c r="Q10" s="919">
        <v>0</v>
      </c>
      <c r="R10" s="919">
        <v>0</v>
      </c>
      <c r="S10" s="919">
        <v>0</v>
      </c>
      <c r="T10" s="1175"/>
      <c r="U10" s="918">
        <v>0</v>
      </c>
      <c r="V10" s="919">
        <v>0</v>
      </c>
      <c r="W10" s="919">
        <v>0</v>
      </c>
      <c r="X10" s="919">
        <v>0</v>
      </c>
      <c r="Y10" s="919">
        <v>0</v>
      </c>
      <c r="Z10" s="919"/>
      <c r="AA10" s="919"/>
      <c r="AB10" s="1175"/>
    </row>
    <row r="11" spans="1:28" ht="21.75" customHeight="1">
      <c r="A11" s="917"/>
      <c r="B11" s="89"/>
      <c r="C11" s="89" t="s">
        <v>290</v>
      </c>
      <c r="D11" s="320" t="s">
        <v>268</v>
      </c>
      <c r="E11" s="918">
        <v>17500000</v>
      </c>
      <c r="F11" s="919">
        <v>17500000</v>
      </c>
      <c r="G11" s="919">
        <v>17500000</v>
      </c>
      <c r="H11" s="919">
        <v>17500000</v>
      </c>
      <c r="I11" s="919">
        <v>17500000</v>
      </c>
      <c r="J11" s="880">
        <v>19179992</v>
      </c>
      <c r="K11" s="880">
        <v>18784044</v>
      </c>
      <c r="L11" s="1176">
        <f t="shared" si="4"/>
        <v>0.9793561957690076</v>
      </c>
      <c r="M11" s="918">
        <v>17500000</v>
      </c>
      <c r="N11" s="919">
        <v>17500000</v>
      </c>
      <c r="O11" s="919">
        <f>G11-W11</f>
        <v>17500000</v>
      </c>
      <c r="P11" s="919">
        <f>H11-X11</f>
        <v>17500000</v>
      </c>
      <c r="Q11" s="919">
        <f>I11-Y11</f>
        <v>17500000</v>
      </c>
      <c r="R11" s="880">
        <f>J11</f>
        <v>19179992</v>
      </c>
      <c r="S11" s="880">
        <f>K11</f>
        <v>18784044</v>
      </c>
      <c r="T11" s="1176">
        <f t="shared" si="6"/>
        <v>0.9793561957690076</v>
      </c>
      <c r="U11" s="918">
        <v>0</v>
      </c>
      <c r="V11" s="919">
        <v>0</v>
      </c>
      <c r="W11" s="919">
        <v>0</v>
      </c>
      <c r="X11" s="919">
        <v>0</v>
      </c>
      <c r="Y11" s="919">
        <v>0</v>
      </c>
      <c r="Z11" s="919"/>
      <c r="AA11" s="919"/>
      <c r="AB11" s="1176"/>
    </row>
    <row r="12" spans="1:38" ht="21.75" customHeight="1" hidden="1">
      <c r="A12" s="917"/>
      <c r="B12" s="89"/>
      <c r="C12" s="89"/>
      <c r="D12" s="320"/>
      <c r="E12" s="920"/>
      <c r="F12" s="921"/>
      <c r="G12" s="921"/>
      <c r="H12" s="921"/>
      <c r="I12" s="921"/>
      <c r="J12" s="921"/>
      <c r="K12" s="921"/>
      <c r="L12" s="1177" t="e">
        <f t="shared" si="4"/>
        <v>#DIV/0!</v>
      </c>
      <c r="M12" s="920"/>
      <c r="N12" s="921"/>
      <c r="O12" s="921"/>
      <c r="P12" s="921"/>
      <c r="Q12" s="921"/>
      <c r="R12" s="921"/>
      <c r="S12" s="921"/>
      <c r="T12" s="1177" t="e">
        <f t="shared" si="6"/>
        <v>#DIV/0!</v>
      </c>
      <c r="U12" s="920"/>
      <c r="V12" s="921"/>
      <c r="W12" s="921"/>
      <c r="X12" s="921"/>
      <c r="Y12" s="921"/>
      <c r="Z12" s="921"/>
      <c r="AA12" s="921"/>
      <c r="AB12" s="1177" t="e">
        <f>+AA12/Z12</f>
        <v>#DIV/0!</v>
      </c>
      <c r="AL12" s="903" t="s">
        <v>244</v>
      </c>
    </row>
    <row r="13" spans="1:28" ht="21.75" customHeight="1">
      <c r="A13" s="917"/>
      <c r="B13" s="89" t="s">
        <v>37</v>
      </c>
      <c r="C13" s="1509" t="s">
        <v>285</v>
      </c>
      <c r="D13" s="1509"/>
      <c r="E13" s="920">
        <f aca="true" t="shared" si="7" ref="E13:J13">SUM(E14:E15)</f>
        <v>140000000</v>
      </c>
      <c r="F13" s="921">
        <f t="shared" si="7"/>
        <v>140000000</v>
      </c>
      <c r="G13" s="921">
        <f t="shared" si="7"/>
        <v>140000000</v>
      </c>
      <c r="H13" s="921">
        <f t="shared" si="7"/>
        <v>140000000</v>
      </c>
      <c r="I13" s="921">
        <f t="shared" si="7"/>
        <v>140000000</v>
      </c>
      <c r="J13" s="921">
        <f t="shared" si="7"/>
        <v>152448775</v>
      </c>
      <c r="K13" s="921">
        <f>SUM(K14:K15)</f>
        <v>150482854</v>
      </c>
      <c r="L13" s="1177">
        <f t="shared" si="4"/>
        <v>0.9871043830952397</v>
      </c>
      <c r="M13" s="920">
        <f aca="true" t="shared" si="8" ref="M13:Z13">SUM(M14:M15)</f>
        <v>119054518</v>
      </c>
      <c r="N13" s="921">
        <f t="shared" si="8"/>
        <v>117064015</v>
      </c>
      <c r="O13" s="921">
        <f t="shared" si="8"/>
        <v>117219272</v>
      </c>
      <c r="P13" s="921">
        <f t="shared" si="8"/>
        <v>117219269</v>
      </c>
      <c r="Q13" s="921">
        <f t="shared" si="8"/>
        <v>117149266</v>
      </c>
      <c r="R13" s="921">
        <f t="shared" si="8"/>
        <v>132679144</v>
      </c>
      <c r="S13" s="921">
        <f>SUM(S14:S15)</f>
        <v>130713223</v>
      </c>
      <c r="T13" s="1177">
        <f t="shared" si="6"/>
        <v>0.9851828935525843</v>
      </c>
      <c r="U13" s="920">
        <f t="shared" si="8"/>
        <v>20945482</v>
      </c>
      <c r="V13" s="921">
        <f t="shared" si="8"/>
        <v>22935985</v>
      </c>
      <c r="W13" s="921">
        <f t="shared" si="8"/>
        <v>22780728</v>
      </c>
      <c r="X13" s="921">
        <f t="shared" si="8"/>
        <v>22780731</v>
      </c>
      <c r="Y13" s="921">
        <f t="shared" si="8"/>
        <v>22850734</v>
      </c>
      <c r="Z13" s="921">
        <f t="shared" si="8"/>
        <v>19769631</v>
      </c>
      <c r="AA13" s="921">
        <f>SUM(AA14:AA15)</f>
        <v>19769631</v>
      </c>
      <c r="AB13" s="1177">
        <f>+AA13/Z13</f>
        <v>1</v>
      </c>
    </row>
    <row r="14" spans="1:29" ht="21.75" customHeight="1">
      <c r="A14" s="917"/>
      <c r="B14" s="89"/>
      <c r="C14" s="89" t="s">
        <v>286</v>
      </c>
      <c r="D14" s="922" t="s">
        <v>508</v>
      </c>
      <c r="E14" s="918">
        <v>140000000</v>
      </c>
      <c r="F14" s="919">
        <v>140000000</v>
      </c>
      <c r="G14" s="919">
        <v>140000000</v>
      </c>
      <c r="H14" s="919">
        <v>140000000</v>
      </c>
      <c r="I14" s="919">
        <v>140000000</v>
      </c>
      <c r="J14" s="919">
        <v>152448775</v>
      </c>
      <c r="K14" s="919">
        <v>150482854</v>
      </c>
      <c r="L14" s="1175">
        <f t="shared" si="4"/>
        <v>0.9871043830952397</v>
      </c>
      <c r="M14" s="918">
        <f aca="true" t="shared" si="9" ref="M14:S14">E14-U14</f>
        <v>119054518</v>
      </c>
      <c r="N14" s="919">
        <f t="shared" si="9"/>
        <v>117064015</v>
      </c>
      <c r="O14" s="919">
        <f t="shared" si="9"/>
        <v>117219272</v>
      </c>
      <c r="P14" s="919">
        <f t="shared" si="9"/>
        <v>117219269</v>
      </c>
      <c r="Q14" s="919">
        <f t="shared" si="9"/>
        <v>117149266</v>
      </c>
      <c r="R14" s="919">
        <f t="shared" si="9"/>
        <v>132679144</v>
      </c>
      <c r="S14" s="919">
        <f t="shared" si="9"/>
        <v>130713223</v>
      </c>
      <c r="T14" s="1175">
        <f t="shared" si="6"/>
        <v>0.9851828935525843</v>
      </c>
      <c r="U14" s="918">
        <v>20945482</v>
      </c>
      <c r="V14" s="919">
        <f>'4.sz.m.ÖNK kiadás'!V39</f>
        <v>22935985</v>
      </c>
      <c r="W14" s="919">
        <f>'4.sz.m.ÖNK kiadás'!W39</f>
        <v>22780728</v>
      </c>
      <c r="X14" s="919">
        <f>'4.sz.m.ÖNK kiadás'!X39</f>
        <v>22780731</v>
      </c>
      <c r="Y14" s="919">
        <f>'4.sz.m.ÖNK kiadás'!Y39</f>
        <v>22850734</v>
      </c>
      <c r="Z14" s="919">
        <v>19769631</v>
      </c>
      <c r="AA14" s="919">
        <v>19769631</v>
      </c>
      <c r="AB14" s="1175">
        <f>+AA14/Z14</f>
        <v>1</v>
      </c>
      <c r="AC14" s="314"/>
    </row>
    <row r="15" spans="1:28" ht="21.75" customHeight="1">
      <c r="A15" s="917"/>
      <c r="B15" s="89"/>
      <c r="C15" s="89" t="s">
        <v>287</v>
      </c>
      <c r="D15" s="922" t="s">
        <v>292</v>
      </c>
      <c r="E15" s="918">
        <v>0</v>
      </c>
      <c r="F15" s="919">
        <v>0</v>
      </c>
      <c r="G15" s="919">
        <v>0</v>
      </c>
      <c r="H15" s="919">
        <v>0</v>
      </c>
      <c r="I15" s="919">
        <v>0</v>
      </c>
      <c r="J15" s="919">
        <v>0</v>
      </c>
      <c r="K15" s="919">
        <v>0</v>
      </c>
      <c r="L15" s="1175"/>
      <c r="M15" s="918">
        <v>0</v>
      </c>
      <c r="N15" s="919">
        <v>0</v>
      </c>
      <c r="O15" s="919">
        <v>0</v>
      </c>
      <c r="P15" s="919">
        <v>0</v>
      </c>
      <c r="Q15" s="919">
        <v>0</v>
      </c>
      <c r="R15" s="919">
        <v>0</v>
      </c>
      <c r="S15" s="919">
        <v>0</v>
      </c>
      <c r="T15" s="1175"/>
      <c r="U15" s="918">
        <v>0</v>
      </c>
      <c r="V15" s="919">
        <v>0</v>
      </c>
      <c r="W15" s="919">
        <v>0</v>
      </c>
      <c r="X15" s="919">
        <v>0</v>
      </c>
      <c r="Y15" s="919">
        <v>0</v>
      </c>
      <c r="Z15" s="919"/>
      <c r="AA15" s="919"/>
      <c r="AB15" s="1175"/>
    </row>
    <row r="16" spans="1:28" ht="21.75" customHeight="1">
      <c r="A16" s="917"/>
      <c r="B16" s="89" t="s">
        <v>113</v>
      </c>
      <c r="C16" s="1509" t="s">
        <v>293</v>
      </c>
      <c r="D16" s="1509"/>
      <c r="E16" s="918">
        <v>13200000</v>
      </c>
      <c r="F16" s="919">
        <v>13200000</v>
      </c>
      <c r="G16" s="919">
        <v>13200000</v>
      </c>
      <c r="H16" s="919">
        <v>13200000</v>
      </c>
      <c r="I16" s="919">
        <v>13200000</v>
      </c>
      <c r="J16" s="919">
        <v>14013516</v>
      </c>
      <c r="K16" s="919">
        <v>13571388</v>
      </c>
      <c r="L16" s="1176">
        <f t="shared" si="4"/>
        <v>0.9684498879510324</v>
      </c>
      <c r="M16" s="918">
        <v>13200000</v>
      </c>
      <c r="N16" s="919">
        <v>13200000</v>
      </c>
      <c r="O16" s="919">
        <f>G16-W16</f>
        <v>13200000</v>
      </c>
      <c r="P16" s="919">
        <f>H16-X16</f>
        <v>13200000</v>
      </c>
      <c r="Q16" s="919">
        <f>I16-Y16</f>
        <v>13200000</v>
      </c>
      <c r="R16" s="880">
        <f>J16</f>
        <v>14013516</v>
      </c>
      <c r="S16" s="880">
        <f>K16</f>
        <v>13571388</v>
      </c>
      <c r="T16" s="1176">
        <f t="shared" si="6"/>
        <v>0.9684498879510324</v>
      </c>
      <c r="U16" s="918">
        <v>0</v>
      </c>
      <c r="V16" s="919">
        <v>0</v>
      </c>
      <c r="W16" s="919">
        <v>0</v>
      </c>
      <c r="X16" s="919">
        <v>0</v>
      </c>
      <c r="Y16" s="919">
        <v>0</v>
      </c>
      <c r="Z16" s="919"/>
      <c r="AA16" s="919"/>
      <c r="AB16" s="1176"/>
    </row>
    <row r="17" spans="1:28" ht="21.75" customHeight="1">
      <c r="A17" s="917"/>
      <c r="B17" s="89" t="s">
        <v>49</v>
      </c>
      <c r="C17" s="1510" t="s">
        <v>294</v>
      </c>
      <c r="D17" s="1510"/>
      <c r="E17" s="920">
        <f>SUM(E18:E19)</f>
        <v>0</v>
      </c>
      <c r="F17" s="921">
        <f>SUM(F18:F19)</f>
        <v>0</v>
      </c>
      <c r="G17" s="921">
        <f>SUM(G18:G19)</f>
        <v>0</v>
      </c>
      <c r="H17" s="921">
        <f>SUM(H18:H19)</f>
        <v>0</v>
      </c>
      <c r="I17" s="921">
        <f>SUM(I18:I19)</f>
        <v>0</v>
      </c>
      <c r="J17" s="921">
        <v>0</v>
      </c>
      <c r="K17" s="921">
        <v>0</v>
      </c>
      <c r="L17" s="1177"/>
      <c r="M17" s="920">
        <f>SUM(M18:M19)</f>
        <v>0</v>
      </c>
      <c r="N17" s="921">
        <f>SUM(N18:N19)</f>
        <v>0</v>
      </c>
      <c r="O17" s="921">
        <f>SUM(O18:O19)</f>
        <v>0</v>
      </c>
      <c r="P17" s="921">
        <f>SUM(P18:P19)</f>
        <v>0</v>
      </c>
      <c r="Q17" s="921">
        <f>SUM(Q18:Q19)</f>
        <v>0</v>
      </c>
      <c r="R17" s="921">
        <v>0</v>
      </c>
      <c r="S17" s="921">
        <v>0</v>
      </c>
      <c r="T17" s="1177"/>
      <c r="U17" s="920">
        <v>0</v>
      </c>
      <c r="V17" s="921">
        <v>0</v>
      </c>
      <c r="W17" s="921">
        <v>0</v>
      </c>
      <c r="X17" s="921">
        <v>0</v>
      </c>
      <c r="Y17" s="921">
        <v>0</v>
      </c>
      <c r="Z17" s="921"/>
      <c r="AA17" s="921"/>
      <c r="AB17" s="1177"/>
    </row>
    <row r="18" spans="1:28" ht="21.75" customHeight="1">
      <c r="A18" s="917"/>
      <c r="B18" s="89"/>
      <c r="C18" s="89" t="s">
        <v>295</v>
      </c>
      <c r="D18" s="922" t="s">
        <v>297</v>
      </c>
      <c r="E18" s="918">
        <v>0</v>
      </c>
      <c r="F18" s="919">
        <v>0</v>
      </c>
      <c r="G18" s="919">
        <v>0</v>
      </c>
      <c r="H18" s="919">
        <v>0</v>
      </c>
      <c r="I18" s="919">
        <v>0</v>
      </c>
      <c r="J18" s="919">
        <v>0</v>
      </c>
      <c r="K18" s="919">
        <v>0</v>
      </c>
      <c r="L18" s="1175"/>
      <c r="M18" s="918">
        <v>0</v>
      </c>
      <c r="N18" s="919">
        <v>0</v>
      </c>
      <c r="O18" s="919">
        <v>0</v>
      </c>
      <c r="P18" s="919">
        <v>0</v>
      </c>
      <c r="Q18" s="919">
        <v>0</v>
      </c>
      <c r="R18" s="919">
        <v>0</v>
      </c>
      <c r="S18" s="919">
        <v>0</v>
      </c>
      <c r="T18" s="1175"/>
      <c r="U18" s="918">
        <v>0</v>
      </c>
      <c r="V18" s="919">
        <v>0</v>
      </c>
      <c r="W18" s="919">
        <v>0</v>
      </c>
      <c r="X18" s="919">
        <v>0</v>
      </c>
      <c r="Y18" s="919">
        <v>0</v>
      </c>
      <c r="Z18" s="919"/>
      <c r="AA18" s="919"/>
      <c r="AB18" s="1175"/>
    </row>
    <row r="19" spans="1:28" ht="21.75" customHeight="1" hidden="1">
      <c r="A19" s="917"/>
      <c r="B19" s="89"/>
      <c r="C19" s="89" t="s">
        <v>296</v>
      </c>
      <c r="D19" s="922" t="s">
        <v>270</v>
      </c>
      <c r="E19" s="918"/>
      <c r="F19" s="919"/>
      <c r="G19" s="919"/>
      <c r="H19" s="919"/>
      <c r="I19" s="919"/>
      <c r="J19" s="919"/>
      <c r="K19" s="919"/>
      <c r="L19" s="1176" t="e">
        <f t="shared" si="4"/>
        <v>#DIV/0!</v>
      </c>
      <c r="M19" s="918"/>
      <c r="N19" s="919"/>
      <c r="O19" s="919"/>
      <c r="P19" s="919"/>
      <c r="Q19" s="919"/>
      <c r="R19" s="880">
        <f>J19</f>
        <v>0</v>
      </c>
      <c r="S19" s="880">
        <f>K19</f>
        <v>0</v>
      </c>
      <c r="T19" s="1176" t="e">
        <f t="shared" si="6"/>
        <v>#DIV/0!</v>
      </c>
      <c r="U19" s="918">
        <v>0</v>
      </c>
      <c r="V19" s="919">
        <v>0</v>
      </c>
      <c r="W19" s="919">
        <v>0</v>
      </c>
      <c r="X19" s="919">
        <v>0</v>
      </c>
      <c r="Y19" s="919">
        <v>0</v>
      </c>
      <c r="Z19" s="919"/>
      <c r="AA19" s="919"/>
      <c r="AB19" s="1176"/>
    </row>
    <row r="20" spans="1:28" ht="21.75" customHeight="1" thickBot="1">
      <c r="A20" s="923"/>
      <c r="B20" s="578" t="s">
        <v>50</v>
      </c>
      <c r="C20" s="1512" t="s">
        <v>298</v>
      </c>
      <c r="D20" s="1512"/>
      <c r="E20" s="924">
        <f>810000+250000</f>
        <v>1060000</v>
      </c>
      <c r="F20" s="925">
        <f>810000+250000</f>
        <v>1060000</v>
      </c>
      <c r="G20" s="925">
        <f>810000+250000+2721890</f>
        <v>3781890</v>
      </c>
      <c r="H20" s="925">
        <f>810000+250000+2721890</f>
        <v>3781890</v>
      </c>
      <c r="I20" s="925">
        <f>810000+250000+2721890+511000</f>
        <v>4292890</v>
      </c>
      <c r="J20" s="925">
        <v>3546220</v>
      </c>
      <c r="K20" s="925">
        <v>1025093</v>
      </c>
      <c r="L20" s="1176">
        <f t="shared" si="4"/>
        <v>0.2890663861802144</v>
      </c>
      <c r="M20" s="924">
        <f>810000+250000</f>
        <v>1060000</v>
      </c>
      <c r="N20" s="925">
        <f>810000+250000</f>
        <v>1060000</v>
      </c>
      <c r="O20" s="919">
        <f>G20-W20</f>
        <v>3781890</v>
      </c>
      <c r="P20" s="919">
        <f>H20-X20</f>
        <v>3781890</v>
      </c>
      <c r="Q20" s="919">
        <f>I20-Y20</f>
        <v>4292890</v>
      </c>
      <c r="R20" s="880">
        <f>J20</f>
        <v>3546220</v>
      </c>
      <c r="S20" s="880">
        <f>K20</f>
        <v>1025093</v>
      </c>
      <c r="T20" s="1176">
        <f t="shared" si="6"/>
        <v>0.2890663861802144</v>
      </c>
      <c r="U20" s="924">
        <v>0</v>
      </c>
      <c r="V20" s="925">
        <v>0</v>
      </c>
      <c r="W20" s="925">
        <v>0</v>
      </c>
      <c r="X20" s="925">
        <v>0</v>
      </c>
      <c r="Y20" s="925">
        <v>0</v>
      </c>
      <c r="Z20" s="925"/>
      <c r="AA20" s="925"/>
      <c r="AB20" s="1176"/>
    </row>
    <row r="21" spans="1:29" ht="21.75" customHeight="1" thickBot="1">
      <c r="A21" s="96" t="s">
        <v>299</v>
      </c>
      <c r="B21" s="1433" t="s">
        <v>300</v>
      </c>
      <c r="C21" s="1433"/>
      <c r="D21" s="1433"/>
      <c r="E21" s="910">
        <f aca="true" t="shared" si="10" ref="E21:J21">E22+E23+E24+E28+E29+E30+E31</f>
        <v>19072554</v>
      </c>
      <c r="F21" s="911">
        <f t="shared" si="10"/>
        <v>19072554</v>
      </c>
      <c r="G21" s="911">
        <f t="shared" si="10"/>
        <v>21176829</v>
      </c>
      <c r="H21" s="911">
        <f t="shared" si="10"/>
        <v>21176829</v>
      </c>
      <c r="I21" s="911">
        <f t="shared" si="10"/>
        <v>22884092</v>
      </c>
      <c r="J21" s="911">
        <f t="shared" si="10"/>
        <v>21496968</v>
      </c>
      <c r="K21" s="911">
        <f>K22+K23+K24+K28+K29+K30+K31</f>
        <v>21051446</v>
      </c>
      <c r="L21" s="1173">
        <f t="shared" si="4"/>
        <v>0.979275123822113</v>
      </c>
      <c r="M21" s="910">
        <f aca="true" t="shared" si="11" ref="M21:S21">M22+M23+M24+M28+M29+M30+M31</f>
        <v>19072554</v>
      </c>
      <c r="N21" s="911">
        <f t="shared" si="11"/>
        <v>19072554</v>
      </c>
      <c r="O21" s="911">
        <f t="shared" si="11"/>
        <v>21176829</v>
      </c>
      <c r="P21" s="911">
        <f t="shared" si="11"/>
        <v>21176829</v>
      </c>
      <c r="Q21" s="911">
        <f t="shared" si="11"/>
        <v>22884092</v>
      </c>
      <c r="R21" s="911">
        <f t="shared" si="11"/>
        <v>21115968</v>
      </c>
      <c r="S21" s="911">
        <f t="shared" si="11"/>
        <v>20670446</v>
      </c>
      <c r="T21" s="1173">
        <f t="shared" si="6"/>
        <v>0.9789011803768598</v>
      </c>
      <c r="U21" s="910">
        <f>SUM(U22:U31)</f>
        <v>0</v>
      </c>
      <c r="V21" s="911">
        <f>SUM(V22:V31)</f>
        <v>0</v>
      </c>
      <c r="W21" s="911">
        <f>SUM(W22:W31)</f>
        <v>0</v>
      </c>
      <c r="X21" s="911">
        <f>SUM(X22:X31)</f>
        <v>0</v>
      </c>
      <c r="Y21" s="911">
        <f>SUM(Y22:Y31)</f>
        <v>0</v>
      </c>
      <c r="Z21" s="911">
        <f>Z22+Z23+Z24+Z28+Z29+Z30+Z31</f>
        <v>381000</v>
      </c>
      <c r="AA21" s="911">
        <f>AA22+AA23+AA24+AA28+AA29+AA30+AA31</f>
        <v>381000</v>
      </c>
      <c r="AB21" s="1173">
        <f>+AA21/Z21</f>
        <v>1</v>
      </c>
      <c r="AC21" s="314"/>
    </row>
    <row r="22" spans="1:28" ht="21.75" customHeight="1">
      <c r="A22" s="926"/>
      <c r="B22" s="95" t="s">
        <v>39</v>
      </c>
      <c r="C22" s="1448" t="s">
        <v>301</v>
      </c>
      <c r="D22" s="1448"/>
      <c r="E22" s="927">
        <v>470000</v>
      </c>
      <c r="F22" s="928">
        <v>470000</v>
      </c>
      <c r="G22" s="928">
        <f>470000+1102</f>
        <v>471102</v>
      </c>
      <c r="H22" s="928">
        <f>470000+1102</f>
        <v>471102</v>
      </c>
      <c r="I22" s="928">
        <f>470000+1102+100660+182886+58000</f>
        <v>812648</v>
      </c>
      <c r="J22" s="928">
        <v>1318240</v>
      </c>
      <c r="K22" s="928">
        <v>1152856</v>
      </c>
      <c r="L22" s="1176">
        <f t="shared" si="4"/>
        <v>0.8745418133268601</v>
      </c>
      <c r="M22" s="927">
        <v>470000</v>
      </c>
      <c r="N22" s="928">
        <v>470000</v>
      </c>
      <c r="O22" s="919">
        <f>G22-W22</f>
        <v>471102</v>
      </c>
      <c r="P22" s="919">
        <f>H22-X22</f>
        <v>471102</v>
      </c>
      <c r="Q22" s="919">
        <f>I22-Y22</f>
        <v>812648</v>
      </c>
      <c r="R22" s="880">
        <f>J22-Z22</f>
        <v>1018240</v>
      </c>
      <c r="S22" s="880">
        <f>K22-AA22</f>
        <v>852856</v>
      </c>
      <c r="T22" s="1176">
        <f t="shared" si="6"/>
        <v>0.8375785669390321</v>
      </c>
      <c r="U22" s="927">
        <v>0</v>
      </c>
      <c r="V22" s="928">
        <v>0</v>
      </c>
      <c r="W22" s="928">
        <v>0</v>
      </c>
      <c r="X22" s="928">
        <v>0</v>
      </c>
      <c r="Y22" s="928">
        <v>0</v>
      </c>
      <c r="Z22" s="928">
        <v>300000</v>
      </c>
      <c r="AA22" s="928">
        <v>300000</v>
      </c>
      <c r="AB22" s="1176">
        <f>+AA22/Z22</f>
        <v>1</v>
      </c>
    </row>
    <row r="23" spans="1:28" ht="21.75" customHeight="1">
      <c r="A23" s="917"/>
      <c r="B23" s="89" t="s">
        <v>40</v>
      </c>
      <c r="C23" s="1440" t="s">
        <v>333</v>
      </c>
      <c r="D23" s="1440"/>
      <c r="E23" s="881">
        <v>5783000</v>
      </c>
      <c r="F23" s="882">
        <v>5783000</v>
      </c>
      <c r="G23" s="882">
        <v>5783000</v>
      </c>
      <c r="H23" s="882">
        <v>5783000</v>
      </c>
      <c r="I23" s="882">
        <v>5783000</v>
      </c>
      <c r="J23" s="882">
        <v>3014412</v>
      </c>
      <c r="K23" s="882">
        <v>2993443</v>
      </c>
      <c r="L23" s="1176">
        <f t="shared" si="4"/>
        <v>0.9930437511527953</v>
      </c>
      <c r="M23" s="881">
        <v>5783000</v>
      </c>
      <c r="N23" s="882">
        <v>5783000</v>
      </c>
      <c r="O23" s="919">
        <f>G23-W23</f>
        <v>5783000</v>
      </c>
      <c r="P23" s="919">
        <f>H23-X23</f>
        <v>5783000</v>
      </c>
      <c r="Q23" s="919">
        <f>I23-Y23</f>
        <v>5783000</v>
      </c>
      <c r="R23" s="880">
        <f>J23</f>
        <v>3014412</v>
      </c>
      <c r="S23" s="880">
        <f>K23</f>
        <v>2993443</v>
      </c>
      <c r="T23" s="1176">
        <f t="shared" si="6"/>
        <v>0.9930437511527953</v>
      </c>
      <c r="U23" s="881">
        <v>0</v>
      </c>
      <c r="V23" s="882">
        <v>0</v>
      </c>
      <c r="W23" s="882">
        <v>0</v>
      </c>
      <c r="X23" s="882">
        <v>0</v>
      </c>
      <c r="Y23" s="882">
        <v>0</v>
      </c>
      <c r="Z23" s="882"/>
      <c r="AA23" s="882"/>
      <c r="AB23" s="1176"/>
    </row>
    <row r="24" spans="1:28" ht="21.75" customHeight="1">
      <c r="A24" s="917"/>
      <c r="B24" s="89" t="s">
        <v>41</v>
      </c>
      <c r="C24" s="1440" t="s">
        <v>303</v>
      </c>
      <c r="D24" s="1440"/>
      <c r="E24" s="359">
        <f aca="true" t="shared" si="12" ref="E24:J24">SUM(E25:E27)</f>
        <v>10263812</v>
      </c>
      <c r="F24" s="283">
        <f t="shared" si="12"/>
        <v>10263812</v>
      </c>
      <c r="G24" s="283">
        <f t="shared" si="12"/>
        <v>10564170</v>
      </c>
      <c r="H24" s="283">
        <f t="shared" si="12"/>
        <v>10564170</v>
      </c>
      <c r="I24" s="283">
        <f t="shared" si="12"/>
        <v>10964951</v>
      </c>
      <c r="J24" s="283">
        <f t="shared" si="12"/>
        <v>11986886</v>
      </c>
      <c r="K24" s="283">
        <f>SUM(K25:K27)</f>
        <v>11986886</v>
      </c>
      <c r="L24" s="1124">
        <f t="shared" si="4"/>
        <v>1</v>
      </c>
      <c r="M24" s="359">
        <f aca="true" t="shared" si="13" ref="M24:S24">SUM(M25:M27)</f>
        <v>10263812</v>
      </c>
      <c r="N24" s="283">
        <f t="shared" si="13"/>
        <v>10263812</v>
      </c>
      <c r="O24" s="283">
        <f t="shared" si="13"/>
        <v>10564170</v>
      </c>
      <c r="P24" s="283">
        <f t="shared" si="13"/>
        <v>10564170</v>
      </c>
      <c r="Q24" s="283">
        <f t="shared" si="13"/>
        <v>10964951</v>
      </c>
      <c r="R24" s="283">
        <f t="shared" si="13"/>
        <v>11986886</v>
      </c>
      <c r="S24" s="283">
        <f t="shared" si="13"/>
        <v>11986886</v>
      </c>
      <c r="T24" s="1124">
        <f t="shared" si="6"/>
        <v>1</v>
      </c>
      <c r="U24" s="359">
        <v>0</v>
      </c>
      <c r="V24" s="283">
        <v>0</v>
      </c>
      <c r="W24" s="283">
        <v>0</v>
      </c>
      <c r="X24" s="283">
        <v>0</v>
      </c>
      <c r="Y24" s="283">
        <v>0</v>
      </c>
      <c r="Z24" s="283"/>
      <c r="AA24" s="283"/>
      <c r="AB24" s="1124"/>
    </row>
    <row r="25" spans="1:28" ht="21.75" customHeight="1">
      <c r="A25" s="917"/>
      <c r="B25" s="89"/>
      <c r="C25" s="89" t="s">
        <v>96</v>
      </c>
      <c r="D25" s="320" t="s">
        <v>304</v>
      </c>
      <c r="E25" s="881">
        <v>10263812</v>
      </c>
      <c r="F25" s="882">
        <v>10263812</v>
      </c>
      <c r="G25" s="882">
        <f>10263812+350000-440000</f>
        <v>10173812</v>
      </c>
      <c r="H25" s="882">
        <f>10263812+350000-440000</f>
        <v>10173812</v>
      </c>
      <c r="I25" s="882">
        <f>10263812+350000-440000+300610</f>
        <v>10474422</v>
      </c>
      <c r="J25" s="882">
        <f>1152210+9391677+952470</f>
        <v>11496357</v>
      </c>
      <c r="K25" s="882">
        <f>11986886-390358-100171</f>
        <v>11496357</v>
      </c>
      <c r="L25" s="1176">
        <f t="shared" si="4"/>
        <v>1</v>
      </c>
      <c r="M25" s="881">
        <v>10263812</v>
      </c>
      <c r="N25" s="882">
        <v>10263812</v>
      </c>
      <c r="O25" s="919">
        <f aca="true" t="shared" si="14" ref="O25:Q26">G25-W25</f>
        <v>10173812</v>
      </c>
      <c r="P25" s="919">
        <f t="shared" si="14"/>
        <v>10173812</v>
      </c>
      <c r="Q25" s="919">
        <f t="shared" si="14"/>
        <v>10474422</v>
      </c>
      <c r="R25" s="880">
        <f aca="true" t="shared" si="15" ref="R25:S27">J25</f>
        <v>11496357</v>
      </c>
      <c r="S25" s="880">
        <f t="shared" si="15"/>
        <v>11496357</v>
      </c>
      <c r="T25" s="1176">
        <f t="shared" si="6"/>
        <v>1</v>
      </c>
      <c r="U25" s="881">
        <v>0</v>
      </c>
      <c r="V25" s="882">
        <v>0</v>
      </c>
      <c r="W25" s="882">
        <v>0</v>
      </c>
      <c r="X25" s="882">
        <v>0</v>
      </c>
      <c r="Y25" s="882">
        <v>0</v>
      </c>
      <c r="Z25" s="882"/>
      <c r="AA25" s="882"/>
      <c r="AB25" s="1176"/>
    </row>
    <row r="26" spans="1:28" ht="41.25" customHeight="1">
      <c r="A26" s="917"/>
      <c r="B26" s="89"/>
      <c r="C26" s="89" t="s">
        <v>97</v>
      </c>
      <c r="D26" s="320" t="s">
        <v>305</v>
      </c>
      <c r="E26" s="881"/>
      <c r="F26" s="882"/>
      <c r="G26" s="882">
        <v>390358</v>
      </c>
      <c r="H26" s="882">
        <v>390358</v>
      </c>
      <c r="I26" s="882">
        <v>390358</v>
      </c>
      <c r="J26" s="882">
        <v>390358</v>
      </c>
      <c r="K26" s="882">
        <v>390358</v>
      </c>
      <c r="L26" s="1176">
        <f t="shared" si="4"/>
        <v>1</v>
      </c>
      <c r="M26" s="881"/>
      <c r="N26" s="882"/>
      <c r="O26" s="919">
        <f t="shared" si="14"/>
        <v>390358</v>
      </c>
      <c r="P26" s="919">
        <f t="shared" si="14"/>
        <v>390358</v>
      </c>
      <c r="Q26" s="919">
        <f t="shared" si="14"/>
        <v>390358</v>
      </c>
      <c r="R26" s="880">
        <f t="shared" si="15"/>
        <v>390358</v>
      </c>
      <c r="S26" s="880">
        <f t="shared" si="15"/>
        <v>390358</v>
      </c>
      <c r="T26" s="1176">
        <f t="shared" si="6"/>
        <v>1</v>
      </c>
      <c r="U26" s="881">
        <v>0</v>
      </c>
      <c r="V26" s="882">
        <v>0</v>
      </c>
      <c r="W26" s="882">
        <v>0</v>
      </c>
      <c r="X26" s="882">
        <v>0</v>
      </c>
      <c r="Y26" s="882">
        <v>0</v>
      </c>
      <c r="Z26" s="882"/>
      <c r="AA26" s="882"/>
      <c r="AB26" s="1176"/>
    </row>
    <row r="27" spans="1:28" ht="21.75" customHeight="1">
      <c r="A27" s="917"/>
      <c r="B27" s="89"/>
      <c r="C27" s="89" t="s">
        <v>98</v>
      </c>
      <c r="D27" s="320" t="s">
        <v>494</v>
      </c>
      <c r="E27" s="881"/>
      <c r="F27" s="882"/>
      <c r="G27" s="882"/>
      <c r="H27" s="882"/>
      <c r="I27" s="882">
        <v>100171</v>
      </c>
      <c r="J27" s="882">
        <v>100171</v>
      </c>
      <c r="K27" s="882">
        <v>100171</v>
      </c>
      <c r="L27" s="1178">
        <f t="shared" si="4"/>
        <v>1</v>
      </c>
      <c r="M27" s="881"/>
      <c r="N27" s="882"/>
      <c r="O27" s="882"/>
      <c r="P27" s="882"/>
      <c r="Q27" s="919">
        <f>I27-Y27</f>
        <v>100171</v>
      </c>
      <c r="R27" s="880">
        <f t="shared" si="15"/>
        <v>100171</v>
      </c>
      <c r="S27" s="880">
        <f t="shared" si="15"/>
        <v>100171</v>
      </c>
      <c r="T27" s="1178">
        <f t="shared" si="6"/>
        <v>1</v>
      </c>
      <c r="U27" s="881">
        <v>0</v>
      </c>
      <c r="V27" s="882">
        <v>0</v>
      </c>
      <c r="W27" s="882">
        <v>0</v>
      </c>
      <c r="X27" s="882">
        <v>0</v>
      </c>
      <c r="Y27" s="882">
        <v>0</v>
      </c>
      <c r="Z27" s="882"/>
      <c r="AA27" s="882"/>
      <c r="AB27" s="1178"/>
    </row>
    <row r="28" spans="1:28" ht="21.75" customHeight="1">
      <c r="A28" s="917"/>
      <c r="B28" s="89" t="s">
        <v>271</v>
      </c>
      <c r="C28" s="1440" t="s">
        <v>306</v>
      </c>
      <c r="D28" s="1440"/>
      <c r="E28" s="881">
        <v>1642410</v>
      </c>
      <c r="F28" s="882">
        <v>1642410</v>
      </c>
      <c r="G28" s="882">
        <f>1642410+46198+21600</f>
        <v>1710208</v>
      </c>
      <c r="H28" s="882">
        <f>1642410+46198+21600</f>
        <v>1710208</v>
      </c>
      <c r="I28" s="882">
        <f>1642410+46198+21600</f>
        <v>1710208</v>
      </c>
      <c r="J28" s="882">
        <v>1120208</v>
      </c>
      <c r="K28" s="882">
        <v>1111996</v>
      </c>
      <c r="L28" s="1176">
        <f t="shared" si="4"/>
        <v>0.9926692185736935</v>
      </c>
      <c r="M28" s="881">
        <v>1642410</v>
      </c>
      <c r="N28" s="882">
        <v>1642410</v>
      </c>
      <c r="O28" s="919">
        <f>G28-W28</f>
        <v>1710208</v>
      </c>
      <c r="P28" s="919">
        <f>H28-X28</f>
        <v>1710208</v>
      </c>
      <c r="Q28" s="919">
        <f>I28-Y28</f>
        <v>1710208</v>
      </c>
      <c r="R28" s="880">
        <f>J28-Z28</f>
        <v>1039208</v>
      </c>
      <c r="S28" s="880">
        <f>K28-AA28</f>
        <v>1030996</v>
      </c>
      <c r="T28" s="1176">
        <f t="shared" si="6"/>
        <v>0.9920978283462021</v>
      </c>
      <c r="U28" s="881">
        <v>0</v>
      </c>
      <c r="V28" s="882">
        <v>0</v>
      </c>
      <c r="W28" s="882">
        <v>0</v>
      </c>
      <c r="X28" s="882">
        <v>0</v>
      </c>
      <c r="Y28" s="882">
        <v>0</v>
      </c>
      <c r="Z28" s="882">
        <v>81000</v>
      </c>
      <c r="AA28" s="882">
        <v>81000</v>
      </c>
      <c r="AB28" s="1176">
        <f>+AA28/Z28</f>
        <v>1</v>
      </c>
    </row>
    <row r="29" spans="1:28" ht="21.75" customHeight="1">
      <c r="A29" s="929"/>
      <c r="B29" s="98" t="s">
        <v>307</v>
      </c>
      <c r="C29" s="1440" t="s">
        <v>569</v>
      </c>
      <c r="D29" s="1440"/>
      <c r="E29" s="881"/>
      <c r="F29" s="882"/>
      <c r="G29" s="882"/>
      <c r="H29" s="882"/>
      <c r="I29" s="882">
        <v>237795</v>
      </c>
      <c r="J29" s="882">
        <v>297932</v>
      </c>
      <c r="K29" s="882">
        <v>297932</v>
      </c>
      <c r="L29" s="1178">
        <f t="shared" si="4"/>
        <v>1</v>
      </c>
      <c r="M29" s="881"/>
      <c r="N29" s="882"/>
      <c r="O29" s="882"/>
      <c r="P29" s="882"/>
      <c r="Q29" s="919">
        <f>I29-Y29</f>
        <v>237795</v>
      </c>
      <c r="R29" s="880">
        <f>J29-Z29</f>
        <v>297932</v>
      </c>
      <c r="S29" s="880">
        <f>K29-AA29</f>
        <v>297932</v>
      </c>
      <c r="T29" s="1178">
        <f t="shared" si="6"/>
        <v>1</v>
      </c>
      <c r="U29" s="881">
        <v>0</v>
      </c>
      <c r="V29" s="882">
        <v>0</v>
      </c>
      <c r="W29" s="882">
        <v>0</v>
      </c>
      <c r="X29" s="882">
        <v>0</v>
      </c>
      <c r="Y29" s="882">
        <v>0</v>
      </c>
      <c r="Z29" s="882"/>
      <c r="AA29" s="882"/>
      <c r="AB29" s="1178"/>
    </row>
    <row r="30" spans="1:28" ht="21.75" customHeight="1">
      <c r="A30" s="929"/>
      <c r="B30" s="98" t="s">
        <v>309</v>
      </c>
      <c r="C30" s="1440" t="s">
        <v>310</v>
      </c>
      <c r="D30" s="1440"/>
      <c r="E30" s="881">
        <f>150000+763332</f>
        <v>913332</v>
      </c>
      <c r="F30" s="882">
        <f>150000+763332</f>
        <v>913332</v>
      </c>
      <c r="G30" s="882">
        <f>150000+763332</f>
        <v>913332</v>
      </c>
      <c r="H30" s="882">
        <f>150000+763332</f>
        <v>913332</v>
      </c>
      <c r="I30" s="882">
        <f>150000+763332</f>
        <v>913332</v>
      </c>
      <c r="J30" s="882">
        <v>913332</v>
      </c>
      <c r="K30" s="882">
        <v>844182</v>
      </c>
      <c r="L30" s="1176">
        <f t="shared" si="4"/>
        <v>0.9242882106397236</v>
      </c>
      <c r="M30" s="881">
        <f>150000+763332</f>
        <v>913332</v>
      </c>
      <c r="N30" s="882">
        <f>150000+763332</f>
        <v>913332</v>
      </c>
      <c r="O30" s="919">
        <f>G30-W30</f>
        <v>913332</v>
      </c>
      <c r="P30" s="919">
        <f>H30-X30</f>
        <v>913332</v>
      </c>
      <c r="Q30" s="919">
        <f>I30-Y30</f>
        <v>913332</v>
      </c>
      <c r="R30" s="880">
        <f>J30</f>
        <v>913332</v>
      </c>
      <c r="S30" s="880">
        <f>K30</f>
        <v>844182</v>
      </c>
      <c r="T30" s="1176">
        <f t="shared" si="6"/>
        <v>0.9242882106397236</v>
      </c>
      <c r="U30" s="881">
        <v>0</v>
      </c>
      <c r="V30" s="882">
        <v>0</v>
      </c>
      <c r="W30" s="882">
        <v>0</v>
      </c>
      <c r="X30" s="882">
        <v>0</v>
      </c>
      <c r="Y30" s="882">
        <v>0</v>
      </c>
      <c r="Z30" s="882"/>
      <c r="AA30" s="882"/>
      <c r="AB30" s="1176"/>
    </row>
    <row r="31" spans="1:28" ht="21.75" customHeight="1" thickBot="1">
      <c r="A31" s="929"/>
      <c r="B31" s="98" t="s">
        <v>69</v>
      </c>
      <c r="C31" s="1439" t="s">
        <v>70</v>
      </c>
      <c r="D31" s="1439"/>
      <c r="E31" s="881"/>
      <c r="F31" s="882"/>
      <c r="G31" s="882">
        <v>1735017</v>
      </c>
      <c r="H31" s="882">
        <v>1735017</v>
      </c>
      <c r="I31" s="882">
        <f>727141+1735017</f>
        <v>2462158</v>
      </c>
      <c r="J31" s="882">
        <v>2845958</v>
      </c>
      <c r="K31" s="882">
        <v>2664151</v>
      </c>
      <c r="L31" s="1176">
        <f t="shared" si="4"/>
        <v>0.9361174690561139</v>
      </c>
      <c r="M31" s="881"/>
      <c r="N31" s="882"/>
      <c r="O31" s="919">
        <f>G31-W31</f>
        <v>1735017</v>
      </c>
      <c r="P31" s="919">
        <f>H31-X31</f>
        <v>1735017</v>
      </c>
      <c r="Q31" s="919">
        <f>I31-Y31</f>
        <v>2462158</v>
      </c>
      <c r="R31" s="880">
        <f>J31</f>
        <v>2845958</v>
      </c>
      <c r="S31" s="880">
        <f>K31</f>
        <v>2664151</v>
      </c>
      <c r="T31" s="1176">
        <f t="shared" si="6"/>
        <v>0.9361174690561139</v>
      </c>
      <c r="U31" s="881">
        <v>0</v>
      </c>
      <c r="V31" s="882">
        <v>0</v>
      </c>
      <c r="W31" s="882">
        <v>0</v>
      </c>
      <c r="X31" s="882">
        <v>0</v>
      </c>
      <c r="Y31" s="882">
        <v>0</v>
      </c>
      <c r="Z31" s="882"/>
      <c r="AA31" s="882"/>
      <c r="AB31" s="1176"/>
    </row>
    <row r="32" spans="1:28" ht="21.75" customHeight="1" thickBot="1">
      <c r="A32" s="930" t="s">
        <v>10</v>
      </c>
      <c r="B32" s="1433" t="s">
        <v>311</v>
      </c>
      <c r="C32" s="1433"/>
      <c r="D32" s="1433"/>
      <c r="E32" s="351">
        <f aca="true" t="shared" si="16" ref="E32:J32">SUM(E33:E37)</f>
        <v>255822270</v>
      </c>
      <c r="F32" s="103">
        <f t="shared" si="16"/>
        <v>255822270</v>
      </c>
      <c r="G32" s="103">
        <f t="shared" si="16"/>
        <v>255822270</v>
      </c>
      <c r="H32" s="103">
        <f t="shared" si="16"/>
        <v>264508418</v>
      </c>
      <c r="I32" s="103">
        <f t="shared" si="16"/>
        <v>276651755</v>
      </c>
      <c r="J32" s="103">
        <f t="shared" si="16"/>
        <v>280919250</v>
      </c>
      <c r="K32" s="103">
        <f>SUM(K33:K37)</f>
        <v>280919250</v>
      </c>
      <c r="L32" s="1089">
        <f t="shared" si="4"/>
        <v>1</v>
      </c>
      <c r="M32" s="351">
        <f aca="true" t="shared" si="17" ref="M32:S32">SUM(M33:M37)</f>
        <v>255822270</v>
      </c>
      <c r="N32" s="103">
        <f t="shared" si="17"/>
        <v>255822270</v>
      </c>
      <c r="O32" s="103">
        <f t="shared" si="17"/>
        <v>255822270</v>
      </c>
      <c r="P32" s="103">
        <f t="shared" si="17"/>
        <v>264508418</v>
      </c>
      <c r="Q32" s="103">
        <f t="shared" si="17"/>
        <v>276651755</v>
      </c>
      <c r="R32" s="103">
        <f t="shared" si="17"/>
        <v>280919250</v>
      </c>
      <c r="S32" s="103">
        <f t="shared" si="17"/>
        <v>280919250</v>
      </c>
      <c r="T32" s="1089">
        <f t="shared" si="6"/>
        <v>1</v>
      </c>
      <c r="U32" s="351">
        <v>0</v>
      </c>
      <c r="V32" s="103">
        <v>0</v>
      </c>
      <c r="W32" s="103">
        <v>0</v>
      </c>
      <c r="X32" s="103">
        <v>0</v>
      </c>
      <c r="Y32" s="103">
        <v>0</v>
      </c>
      <c r="Z32" s="103"/>
      <c r="AA32" s="103"/>
      <c r="AB32" s="1089"/>
    </row>
    <row r="33" spans="1:30" ht="21.75" customHeight="1">
      <c r="A33" s="926"/>
      <c r="B33" s="98" t="s">
        <v>42</v>
      </c>
      <c r="C33" s="1513" t="s">
        <v>312</v>
      </c>
      <c r="D33" s="1513"/>
      <c r="E33" s="885">
        <v>217306312</v>
      </c>
      <c r="F33" s="886">
        <f>217306312+1201788+1105977</f>
        <v>219614077</v>
      </c>
      <c r="G33" s="886">
        <f>217306312+1201788+1105977+283506+4767278</f>
        <v>224664861</v>
      </c>
      <c r="H33" s="886">
        <f>217306312+1201788+1105977+283506+4767278+74420+1515184+800727</f>
        <v>227055192</v>
      </c>
      <c r="I33" s="886">
        <f>217306312+1201788+1105977+283506+4767278+74420+1515184+800727+2*74421+1499946+1466193+767984-297993-27234-913440+6690000-1349400-4560+133454</f>
        <v>235168984</v>
      </c>
      <c r="J33" s="886">
        <f>70029077+42356217+124108712+3861934</f>
        <v>240355940</v>
      </c>
      <c r="K33" s="886">
        <f>70029077+42356217+124108712+3861934</f>
        <v>240355940</v>
      </c>
      <c r="L33" s="1176">
        <f t="shared" si="4"/>
        <v>1</v>
      </c>
      <c r="M33" s="885">
        <v>217306312</v>
      </c>
      <c r="N33" s="886">
        <f>217306312+1201788+1105977</f>
        <v>219614077</v>
      </c>
      <c r="O33" s="919">
        <f aca="true" t="shared" si="18" ref="O33:Q34">G33-W33</f>
        <v>224664861</v>
      </c>
      <c r="P33" s="919">
        <f t="shared" si="18"/>
        <v>227055192</v>
      </c>
      <c r="Q33" s="919">
        <f t="shared" si="18"/>
        <v>235168984</v>
      </c>
      <c r="R33" s="880">
        <f>J33</f>
        <v>240355940</v>
      </c>
      <c r="S33" s="880">
        <f>K33</f>
        <v>240355940</v>
      </c>
      <c r="T33" s="1176">
        <f t="shared" si="6"/>
        <v>1</v>
      </c>
      <c r="U33" s="885">
        <v>0</v>
      </c>
      <c r="V33" s="886">
        <v>0</v>
      </c>
      <c r="W33" s="886">
        <v>0</v>
      </c>
      <c r="X33" s="886">
        <v>0</v>
      </c>
      <c r="Y33" s="886">
        <v>0</v>
      </c>
      <c r="Z33" s="886"/>
      <c r="AA33" s="886"/>
      <c r="AB33" s="1176"/>
      <c r="AD33" s="314"/>
    </row>
    <row r="34" spans="1:28" ht="21.75" customHeight="1">
      <c r="A34" s="917"/>
      <c r="B34" s="98" t="s">
        <v>43</v>
      </c>
      <c r="C34" s="1440" t="s">
        <v>489</v>
      </c>
      <c r="D34" s="1440"/>
      <c r="E34" s="881"/>
      <c r="F34" s="882"/>
      <c r="G34" s="882">
        <v>2175574</v>
      </c>
      <c r="H34" s="882">
        <f>2175574+8686148</f>
        <v>10861722</v>
      </c>
      <c r="I34" s="882">
        <f>2175574+8686148+2895383+351360*2+329522</f>
        <v>14789347</v>
      </c>
      <c r="J34" s="882">
        <v>20499784</v>
      </c>
      <c r="K34" s="882">
        <v>20499784</v>
      </c>
      <c r="L34" s="1176">
        <f t="shared" si="4"/>
        <v>1</v>
      </c>
      <c r="M34" s="881"/>
      <c r="N34" s="882"/>
      <c r="O34" s="919">
        <f t="shared" si="18"/>
        <v>2175574</v>
      </c>
      <c r="P34" s="919">
        <f t="shared" si="18"/>
        <v>10861722</v>
      </c>
      <c r="Q34" s="919">
        <f t="shared" si="18"/>
        <v>14789347</v>
      </c>
      <c r="R34" s="880">
        <f>J34</f>
        <v>20499784</v>
      </c>
      <c r="S34" s="880">
        <f>K34</f>
        <v>20499784</v>
      </c>
      <c r="T34" s="1176">
        <f t="shared" si="6"/>
        <v>1</v>
      </c>
      <c r="U34" s="881">
        <v>0</v>
      </c>
      <c r="V34" s="882">
        <v>0</v>
      </c>
      <c r="W34" s="882">
        <v>0</v>
      </c>
      <c r="X34" s="882">
        <v>0</v>
      </c>
      <c r="Y34" s="882">
        <v>0</v>
      </c>
      <c r="Z34" s="882"/>
      <c r="AA34" s="882"/>
      <c r="AB34" s="1176"/>
    </row>
    <row r="35" spans="1:28" ht="21.75" customHeight="1">
      <c r="A35" s="917"/>
      <c r="B35" s="98" t="s">
        <v>67</v>
      </c>
      <c r="C35" s="1440" t="s">
        <v>432</v>
      </c>
      <c r="D35" s="1440"/>
      <c r="E35" s="881">
        <v>0</v>
      </c>
      <c r="F35" s="882">
        <v>0</v>
      </c>
      <c r="G35" s="882">
        <v>0</v>
      </c>
      <c r="H35" s="882">
        <v>0</v>
      </c>
      <c r="I35" s="882">
        <v>0</v>
      </c>
      <c r="J35" s="882">
        <v>0</v>
      </c>
      <c r="K35" s="882">
        <v>0</v>
      </c>
      <c r="L35" s="1178"/>
      <c r="M35" s="881">
        <v>0</v>
      </c>
      <c r="N35" s="882">
        <v>0</v>
      </c>
      <c r="O35" s="882">
        <v>0</v>
      </c>
      <c r="P35" s="882">
        <v>0</v>
      </c>
      <c r="Q35" s="882">
        <v>0</v>
      </c>
      <c r="R35" s="882">
        <v>0</v>
      </c>
      <c r="S35" s="882">
        <v>0</v>
      </c>
      <c r="T35" s="1178"/>
      <c r="U35" s="881">
        <v>0</v>
      </c>
      <c r="V35" s="882">
        <v>0</v>
      </c>
      <c r="W35" s="882">
        <v>0</v>
      </c>
      <c r="X35" s="882">
        <v>0</v>
      </c>
      <c r="Y35" s="882">
        <v>0</v>
      </c>
      <c r="Z35" s="882"/>
      <c r="AA35" s="882"/>
      <c r="AB35" s="1178"/>
    </row>
    <row r="36" spans="1:28" ht="21.75" customHeight="1">
      <c r="A36" s="917"/>
      <c r="B36" s="98" t="s">
        <v>68</v>
      </c>
      <c r="C36" s="1440" t="s">
        <v>355</v>
      </c>
      <c r="D36" s="1440"/>
      <c r="E36" s="881">
        <v>0</v>
      </c>
      <c r="F36" s="882">
        <v>0</v>
      </c>
      <c r="G36" s="882">
        <v>0</v>
      </c>
      <c r="H36" s="882">
        <v>0</v>
      </c>
      <c r="I36" s="882">
        <v>0</v>
      </c>
      <c r="J36" s="882">
        <v>0</v>
      </c>
      <c r="K36" s="882">
        <v>0</v>
      </c>
      <c r="L36" s="1178"/>
      <c r="M36" s="881">
        <v>0</v>
      </c>
      <c r="N36" s="882">
        <v>0</v>
      </c>
      <c r="O36" s="882">
        <v>0</v>
      </c>
      <c r="P36" s="882">
        <v>0</v>
      </c>
      <c r="Q36" s="882">
        <v>0</v>
      </c>
      <c r="R36" s="882">
        <v>0</v>
      </c>
      <c r="S36" s="882">
        <v>0</v>
      </c>
      <c r="T36" s="1178"/>
      <c r="U36" s="881">
        <v>0</v>
      </c>
      <c r="V36" s="882">
        <v>0</v>
      </c>
      <c r="W36" s="882">
        <v>0</v>
      </c>
      <c r="X36" s="882">
        <v>0</v>
      </c>
      <c r="Y36" s="882">
        <v>0</v>
      </c>
      <c r="Z36" s="882"/>
      <c r="AA36" s="882"/>
      <c r="AB36" s="1178"/>
    </row>
    <row r="37" spans="1:28" ht="21.75" customHeight="1">
      <c r="A37" s="917"/>
      <c r="B37" s="98" t="s">
        <v>351</v>
      </c>
      <c r="C37" s="1440" t="s">
        <v>313</v>
      </c>
      <c r="D37" s="1440"/>
      <c r="E37" s="359">
        <f aca="true" t="shared" si="19" ref="E37:J37">SUM(E38:E40)</f>
        <v>38515958</v>
      </c>
      <c r="F37" s="283">
        <f t="shared" si="19"/>
        <v>36208193</v>
      </c>
      <c r="G37" s="283">
        <f t="shared" si="19"/>
        <v>28981835</v>
      </c>
      <c r="H37" s="283">
        <f t="shared" si="19"/>
        <v>26591504</v>
      </c>
      <c r="I37" s="283">
        <f t="shared" si="19"/>
        <v>26693424</v>
      </c>
      <c r="J37" s="283">
        <f t="shared" si="19"/>
        <v>20063526</v>
      </c>
      <c r="K37" s="283">
        <f>SUM(K38:K40)</f>
        <v>20063526</v>
      </c>
      <c r="L37" s="1124">
        <f t="shared" si="4"/>
        <v>1</v>
      </c>
      <c r="M37" s="359">
        <f aca="true" t="shared" si="20" ref="M37:R37">SUM(M38:M40)</f>
        <v>38515958</v>
      </c>
      <c r="N37" s="283">
        <f t="shared" si="20"/>
        <v>36208193</v>
      </c>
      <c r="O37" s="283">
        <f t="shared" si="20"/>
        <v>28981835</v>
      </c>
      <c r="P37" s="283">
        <f>SUM(P38:P40)</f>
        <v>26591504</v>
      </c>
      <c r="Q37" s="283">
        <f>SUM(Q38:Q40)</f>
        <v>26693424</v>
      </c>
      <c r="R37" s="283">
        <f t="shared" si="20"/>
        <v>20063526</v>
      </c>
      <c r="S37" s="283">
        <f>SUM(S38:S40)</f>
        <v>20063526</v>
      </c>
      <c r="T37" s="1124">
        <f t="shared" si="6"/>
        <v>1</v>
      </c>
      <c r="U37" s="359">
        <v>0</v>
      </c>
      <c r="V37" s="283">
        <v>0</v>
      </c>
      <c r="W37" s="283">
        <v>0</v>
      </c>
      <c r="X37" s="283">
        <v>0</v>
      </c>
      <c r="Y37" s="283">
        <v>0</v>
      </c>
      <c r="Z37" s="283"/>
      <c r="AA37" s="283"/>
      <c r="AB37" s="1124"/>
    </row>
    <row r="38" spans="1:28" ht="21.75" customHeight="1">
      <c r="A38" s="917"/>
      <c r="B38" s="98"/>
      <c r="C38" s="95" t="s">
        <v>352</v>
      </c>
      <c r="D38" s="579" t="s">
        <v>33</v>
      </c>
      <c r="E38" s="881">
        <v>8066400</v>
      </c>
      <c r="F38" s="882">
        <v>8066400</v>
      </c>
      <c r="G38" s="882">
        <v>8066400</v>
      </c>
      <c r="H38" s="882">
        <v>8066400</v>
      </c>
      <c r="I38" s="882">
        <v>8066400</v>
      </c>
      <c r="J38" s="882">
        <v>8182000</v>
      </c>
      <c r="K38" s="882">
        <v>8182000</v>
      </c>
      <c r="L38" s="1176">
        <f t="shared" si="4"/>
        <v>1</v>
      </c>
      <c r="M38" s="881">
        <v>8066400</v>
      </c>
      <c r="N38" s="882">
        <v>8066400</v>
      </c>
      <c r="O38" s="919">
        <f>G38-W38</f>
        <v>8066400</v>
      </c>
      <c r="P38" s="919">
        <f>H38-X38</f>
        <v>8066400</v>
      </c>
      <c r="Q38" s="919">
        <f>I38-Y38</f>
        <v>8066400</v>
      </c>
      <c r="R38" s="880">
        <f>J38</f>
        <v>8182000</v>
      </c>
      <c r="S38" s="880">
        <f>K38</f>
        <v>8182000</v>
      </c>
      <c r="T38" s="1176">
        <f t="shared" si="6"/>
        <v>1</v>
      </c>
      <c r="U38" s="881">
        <v>0</v>
      </c>
      <c r="V38" s="882">
        <v>0</v>
      </c>
      <c r="W38" s="882">
        <v>0</v>
      </c>
      <c r="X38" s="882">
        <v>0</v>
      </c>
      <c r="Y38" s="882">
        <v>0</v>
      </c>
      <c r="Z38" s="882"/>
      <c r="AA38" s="882"/>
      <c r="AB38" s="1176"/>
    </row>
    <row r="39" spans="1:28" ht="21.75" customHeight="1">
      <c r="A39" s="917"/>
      <c r="B39" s="98"/>
      <c r="C39" s="89" t="s">
        <v>353</v>
      </c>
      <c r="D39" s="320" t="s">
        <v>32</v>
      </c>
      <c r="E39" s="881"/>
      <c r="F39" s="882"/>
      <c r="G39" s="882"/>
      <c r="H39" s="882"/>
      <c r="I39" s="882">
        <v>3844000</v>
      </c>
      <c r="J39" s="882">
        <v>3844000</v>
      </c>
      <c r="K39" s="882">
        <v>3844000</v>
      </c>
      <c r="L39" s="1178">
        <f t="shared" si="4"/>
        <v>1</v>
      </c>
      <c r="M39" s="881"/>
      <c r="N39" s="882"/>
      <c r="O39" s="882"/>
      <c r="P39" s="882"/>
      <c r="Q39" s="919">
        <f>I39-Y39</f>
        <v>3844000</v>
      </c>
      <c r="R39" s="880">
        <f>J39-Z39</f>
        <v>3844000</v>
      </c>
      <c r="S39" s="880">
        <f>K39-AA39</f>
        <v>3844000</v>
      </c>
      <c r="T39" s="1178">
        <f t="shared" si="6"/>
        <v>1</v>
      </c>
      <c r="U39" s="881">
        <v>0</v>
      </c>
      <c r="V39" s="882">
        <v>0</v>
      </c>
      <c r="W39" s="882">
        <v>0</v>
      </c>
      <c r="X39" s="882">
        <v>0</v>
      </c>
      <c r="Y39" s="882">
        <v>0</v>
      </c>
      <c r="Z39" s="882"/>
      <c r="AA39" s="882"/>
      <c r="AB39" s="1178"/>
    </row>
    <row r="40" spans="1:28" ht="21.75" customHeight="1" thickBot="1">
      <c r="A40" s="917"/>
      <c r="B40" s="98"/>
      <c r="C40" s="89" t="s">
        <v>354</v>
      </c>
      <c r="D40" s="320" t="s">
        <v>34</v>
      </c>
      <c r="E40" s="883">
        <v>30449558</v>
      </c>
      <c r="F40" s="884">
        <f>30449558-2307765</f>
        <v>28141793</v>
      </c>
      <c r="G40" s="884">
        <f>30449558-2307765-7226358</f>
        <v>20915435</v>
      </c>
      <c r="H40" s="884">
        <f>30449558-2307765-7226358-1515184-74420-800727</f>
        <v>18525104</v>
      </c>
      <c r="I40" s="884">
        <f>30449558-2307765-7226358-1515184-74420-800727-4280677+211000+327597</f>
        <v>14783024</v>
      </c>
      <c r="J40" s="884">
        <f>36600+7608926+392000</f>
        <v>8037526</v>
      </c>
      <c r="K40" s="884">
        <f>392000+7608926+36600</f>
        <v>8037526</v>
      </c>
      <c r="L40" s="1176">
        <f t="shared" si="4"/>
        <v>1</v>
      </c>
      <c r="M40" s="883">
        <v>30449558</v>
      </c>
      <c r="N40" s="884">
        <f>30449558-2307765</f>
        <v>28141793</v>
      </c>
      <c r="O40" s="919">
        <f>G40-W40</f>
        <v>20915435</v>
      </c>
      <c r="P40" s="919">
        <f>H40-X40</f>
        <v>18525104</v>
      </c>
      <c r="Q40" s="919">
        <f>I40-Y40</f>
        <v>14783024</v>
      </c>
      <c r="R40" s="880">
        <f>J40</f>
        <v>8037526</v>
      </c>
      <c r="S40" s="880">
        <f>K40</f>
        <v>8037526</v>
      </c>
      <c r="T40" s="1176">
        <f t="shared" si="6"/>
        <v>1</v>
      </c>
      <c r="U40" s="883">
        <v>0</v>
      </c>
      <c r="V40" s="884">
        <v>0</v>
      </c>
      <c r="W40" s="884">
        <v>0</v>
      </c>
      <c r="X40" s="884">
        <v>0</v>
      </c>
      <c r="Y40" s="884">
        <v>0</v>
      </c>
      <c r="Z40" s="884"/>
      <c r="AA40" s="884"/>
      <c r="AB40" s="1176"/>
    </row>
    <row r="41" spans="1:28" ht="21.75" customHeight="1" thickBot="1">
      <c r="A41" s="930" t="s">
        <v>11</v>
      </c>
      <c r="B41" s="1433" t="s">
        <v>314</v>
      </c>
      <c r="C41" s="1433"/>
      <c r="D41" s="1433"/>
      <c r="E41" s="351">
        <f>SUM(E42:E43)</f>
        <v>40000000</v>
      </c>
      <c r="F41" s="103">
        <f>SUM(F42:F43)</f>
        <v>40000000</v>
      </c>
      <c r="G41" s="103">
        <f>SUM(G42:G43)</f>
        <v>40000000</v>
      </c>
      <c r="H41" s="103">
        <f>SUM(H42:H43)</f>
        <v>208644474</v>
      </c>
      <c r="I41" s="103">
        <f>SUM(I42:I43)</f>
        <v>204800474</v>
      </c>
      <c r="J41" s="103">
        <f>J42+J43+J47</f>
        <v>205085474</v>
      </c>
      <c r="K41" s="103">
        <f>K42+K43+K47</f>
        <v>205085474</v>
      </c>
      <c r="L41" s="1089">
        <f t="shared" si="4"/>
        <v>1</v>
      </c>
      <c r="M41" s="351">
        <f>SUM(M42:M43)</f>
        <v>40000000</v>
      </c>
      <c r="N41" s="103">
        <f>SUM(N42:N43)</f>
        <v>40000000</v>
      </c>
      <c r="O41" s="103">
        <f>SUM(O42:O43)</f>
        <v>40000000</v>
      </c>
      <c r="P41" s="103">
        <f>SUM(P42:P43)</f>
        <v>208644474</v>
      </c>
      <c r="Q41" s="103">
        <f>SUM(Q42:Q43)</f>
        <v>204800474</v>
      </c>
      <c r="R41" s="103">
        <f>R42+R43+R47</f>
        <v>205085474</v>
      </c>
      <c r="S41" s="103">
        <f>S42+S43+S47</f>
        <v>205085474</v>
      </c>
      <c r="T41" s="1089">
        <f t="shared" si="6"/>
        <v>1</v>
      </c>
      <c r="U41" s="351">
        <f>SUM(U42:U43)</f>
        <v>0</v>
      </c>
      <c r="V41" s="103">
        <f>SUM(V42:V43)</f>
        <v>0</v>
      </c>
      <c r="W41" s="103">
        <f>SUM(W42:W43)</f>
        <v>0</v>
      </c>
      <c r="X41" s="103">
        <f>SUM(X42:X43)</f>
        <v>0</v>
      </c>
      <c r="Y41" s="103">
        <f>SUM(Y42:Y43)</f>
        <v>0</v>
      </c>
      <c r="Z41" s="103">
        <f>Z42+Z43+Z47</f>
        <v>0</v>
      </c>
      <c r="AA41" s="103">
        <f>AA42+AA43+AA47</f>
        <v>0</v>
      </c>
      <c r="AB41" s="1089"/>
    </row>
    <row r="42" spans="1:28" ht="21.75" customHeight="1">
      <c r="A42" s="926"/>
      <c r="B42" s="931" t="s">
        <v>315</v>
      </c>
      <c r="C42" s="1448" t="s">
        <v>317</v>
      </c>
      <c r="D42" s="1448"/>
      <c r="E42" s="888">
        <v>40000000</v>
      </c>
      <c r="F42" s="887">
        <v>40000000</v>
      </c>
      <c r="G42" s="887">
        <v>40000000</v>
      </c>
      <c r="H42" s="887">
        <v>40000000</v>
      </c>
      <c r="I42" s="887">
        <v>40000000</v>
      </c>
      <c r="J42" s="887">
        <v>40285000</v>
      </c>
      <c r="K42" s="887">
        <v>40285000</v>
      </c>
      <c r="L42" s="1179">
        <f t="shared" si="4"/>
        <v>1</v>
      </c>
      <c r="M42" s="888">
        <v>40000000</v>
      </c>
      <c r="N42" s="887">
        <v>40000000</v>
      </c>
      <c r="O42" s="919">
        <f>G42-W42</f>
        <v>40000000</v>
      </c>
      <c r="P42" s="919">
        <f>H42-X42</f>
        <v>40000000</v>
      </c>
      <c r="Q42" s="919">
        <f>I42-Y42</f>
        <v>40000000</v>
      </c>
      <c r="R42" s="880">
        <f>J42-Z42</f>
        <v>40285000</v>
      </c>
      <c r="S42" s="880">
        <f>K42-AA42</f>
        <v>40285000</v>
      </c>
      <c r="T42" s="1179">
        <f t="shared" si="6"/>
        <v>1</v>
      </c>
      <c r="U42" s="888">
        <v>0</v>
      </c>
      <c r="V42" s="887">
        <v>0</v>
      </c>
      <c r="W42" s="887">
        <v>0</v>
      </c>
      <c r="X42" s="887">
        <v>0</v>
      </c>
      <c r="Y42" s="887">
        <v>0</v>
      </c>
      <c r="Z42" s="887"/>
      <c r="AA42" s="887"/>
      <c r="AB42" s="1179"/>
    </row>
    <row r="43" spans="1:28" ht="21.75" customHeight="1">
      <c r="A43" s="917"/>
      <c r="B43" s="932" t="s">
        <v>316</v>
      </c>
      <c r="C43" s="1440" t="s">
        <v>318</v>
      </c>
      <c r="D43" s="1440"/>
      <c r="E43" s="359">
        <f aca="true" t="shared" si="21" ref="E43:J43">SUM(E44:E46)</f>
        <v>0</v>
      </c>
      <c r="F43" s="283">
        <f t="shared" si="21"/>
        <v>0</v>
      </c>
      <c r="G43" s="283">
        <f t="shared" si="21"/>
        <v>0</v>
      </c>
      <c r="H43" s="283">
        <f t="shared" si="21"/>
        <v>168644474</v>
      </c>
      <c r="I43" s="283">
        <f t="shared" si="21"/>
        <v>164800474</v>
      </c>
      <c r="J43" s="283">
        <f t="shared" si="21"/>
        <v>164800474</v>
      </c>
      <c r="K43" s="283">
        <f>SUM(K44:K46)</f>
        <v>164800474</v>
      </c>
      <c r="L43" s="1124">
        <f t="shared" si="4"/>
        <v>1</v>
      </c>
      <c r="M43" s="359">
        <f aca="true" t="shared" si="22" ref="M43:R43">SUM(M44:M46)</f>
        <v>0</v>
      </c>
      <c r="N43" s="283">
        <f t="shared" si="22"/>
        <v>0</v>
      </c>
      <c r="O43" s="283">
        <f t="shared" si="22"/>
        <v>0</v>
      </c>
      <c r="P43" s="283">
        <f t="shared" si="22"/>
        <v>168644474</v>
      </c>
      <c r="Q43" s="283">
        <f t="shared" si="22"/>
        <v>164800474</v>
      </c>
      <c r="R43" s="283">
        <f t="shared" si="22"/>
        <v>164800474</v>
      </c>
      <c r="S43" s="283">
        <f>SUM(S44:S46)</f>
        <v>164800474</v>
      </c>
      <c r="T43" s="1124">
        <f t="shared" si="6"/>
        <v>1</v>
      </c>
      <c r="U43" s="359">
        <f aca="true" t="shared" si="23" ref="U43:AA43">SUM(U44:U46)</f>
        <v>0</v>
      </c>
      <c r="V43" s="283">
        <f t="shared" si="23"/>
        <v>0</v>
      </c>
      <c r="W43" s="283">
        <f t="shared" si="23"/>
        <v>0</v>
      </c>
      <c r="X43" s="283">
        <f t="shared" si="23"/>
        <v>0</v>
      </c>
      <c r="Y43" s="283">
        <f t="shared" si="23"/>
        <v>0</v>
      </c>
      <c r="Z43" s="283">
        <f t="shared" si="23"/>
        <v>0</v>
      </c>
      <c r="AA43" s="283">
        <f t="shared" si="23"/>
        <v>0</v>
      </c>
      <c r="AB43" s="1124"/>
    </row>
    <row r="44" spans="1:28" ht="21.75" customHeight="1">
      <c r="A44" s="917"/>
      <c r="B44" s="931"/>
      <c r="C44" s="95" t="s">
        <v>319</v>
      </c>
      <c r="D44" s="579" t="s">
        <v>33</v>
      </c>
      <c r="E44" s="881">
        <v>0</v>
      </c>
      <c r="F44" s="882">
        <v>0</v>
      </c>
      <c r="G44" s="882">
        <v>0</v>
      </c>
      <c r="H44" s="882">
        <v>0</v>
      </c>
      <c r="I44" s="882">
        <v>0</v>
      </c>
      <c r="J44" s="882">
        <v>0</v>
      </c>
      <c r="K44" s="882">
        <v>0</v>
      </c>
      <c r="L44" s="1178"/>
      <c r="M44" s="881">
        <v>0</v>
      </c>
      <c r="N44" s="882">
        <v>0</v>
      </c>
      <c r="O44" s="882">
        <v>0</v>
      </c>
      <c r="P44" s="882">
        <v>0</v>
      </c>
      <c r="Q44" s="882">
        <v>0</v>
      </c>
      <c r="R44" s="882"/>
      <c r="S44" s="882"/>
      <c r="T44" s="1178" t="e">
        <f t="shared" si="6"/>
        <v>#DIV/0!</v>
      </c>
      <c r="U44" s="881">
        <v>0</v>
      </c>
      <c r="V44" s="882">
        <v>0</v>
      </c>
      <c r="W44" s="882">
        <v>0</v>
      </c>
      <c r="X44" s="882">
        <v>0</v>
      </c>
      <c r="Y44" s="882">
        <v>0</v>
      </c>
      <c r="Z44" s="882"/>
      <c r="AA44" s="882"/>
      <c r="AB44" s="1178"/>
    </row>
    <row r="45" spans="1:28" ht="21.75" customHeight="1">
      <c r="A45" s="917"/>
      <c r="B45" s="932"/>
      <c r="C45" s="89" t="s">
        <v>320</v>
      </c>
      <c r="D45" s="579" t="s">
        <v>32</v>
      </c>
      <c r="E45" s="881">
        <v>0</v>
      </c>
      <c r="F45" s="882">
        <v>0</v>
      </c>
      <c r="G45" s="882">
        <v>0</v>
      </c>
      <c r="H45" s="882">
        <v>0</v>
      </c>
      <c r="I45" s="882">
        <f>-3844000+168644474</f>
        <v>164800474</v>
      </c>
      <c r="J45" s="882">
        <v>164800474</v>
      </c>
      <c r="K45" s="882">
        <v>164800474</v>
      </c>
      <c r="L45" s="1178">
        <f t="shared" si="4"/>
        <v>1</v>
      </c>
      <c r="M45" s="881">
        <v>0</v>
      </c>
      <c r="N45" s="882">
        <v>0</v>
      </c>
      <c r="O45" s="882">
        <v>0</v>
      </c>
      <c r="P45" s="882">
        <v>0</v>
      </c>
      <c r="Q45" s="919">
        <f>I45-Y45</f>
        <v>164800474</v>
      </c>
      <c r="R45" s="880">
        <f>J45-Z45</f>
        <v>164800474</v>
      </c>
      <c r="S45" s="880">
        <f>K45-AA45</f>
        <v>164800474</v>
      </c>
      <c r="T45" s="1178">
        <f t="shared" si="6"/>
        <v>1</v>
      </c>
      <c r="U45" s="881">
        <v>0</v>
      </c>
      <c r="V45" s="882">
        <v>0</v>
      </c>
      <c r="W45" s="882">
        <v>0</v>
      </c>
      <c r="X45" s="882">
        <v>0</v>
      </c>
      <c r="Y45" s="882">
        <v>0</v>
      </c>
      <c r="Z45" s="882"/>
      <c r="AA45" s="882"/>
      <c r="AB45" s="1178"/>
    </row>
    <row r="46" spans="1:28" ht="21.75" customHeight="1">
      <c r="A46" s="929"/>
      <c r="B46" s="931"/>
      <c r="C46" s="95" t="s">
        <v>321</v>
      </c>
      <c r="D46" s="579" t="s">
        <v>322</v>
      </c>
      <c r="E46" s="881"/>
      <c r="F46" s="882"/>
      <c r="G46" s="882"/>
      <c r="H46" s="882">
        <v>168644474</v>
      </c>
      <c r="I46" s="882"/>
      <c r="J46" s="882"/>
      <c r="K46" s="882"/>
      <c r="L46" s="1178"/>
      <c r="M46" s="881"/>
      <c r="N46" s="882"/>
      <c r="O46" s="882"/>
      <c r="P46" s="919">
        <f>H46-X46</f>
        <v>168644474</v>
      </c>
      <c r="Q46" s="919">
        <f>I46-Y46</f>
        <v>0</v>
      </c>
      <c r="R46" s="882"/>
      <c r="S46" s="882"/>
      <c r="T46" s="1178" t="e">
        <f t="shared" si="6"/>
        <v>#DIV/0!</v>
      </c>
      <c r="U46" s="881">
        <v>0</v>
      </c>
      <c r="V46" s="882">
        <v>0</v>
      </c>
      <c r="W46" s="882">
        <v>0</v>
      </c>
      <c r="X46" s="882">
        <v>0</v>
      </c>
      <c r="Y46" s="882">
        <v>0</v>
      </c>
      <c r="Z46" s="882"/>
      <c r="AA46" s="882"/>
      <c r="AB46" s="1178"/>
    </row>
    <row r="47" spans="1:28" ht="21.75" customHeight="1" thickBot="1">
      <c r="A47" s="933"/>
      <c r="B47" s="932" t="s">
        <v>347</v>
      </c>
      <c r="C47" s="1440" t="s">
        <v>485</v>
      </c>
      <c r="D47" s="1440"/>
      <c r="E47" s="881">
        <v>0</v>
      </c>
      <c r="F47" s="882">
        <v>0</v>
      </c>
      <c r="G47" s="882">
        <v>0</v>
      </c>
      <c r="H47" s="882">
        <v>0</v>
      </c>
      <c r="I47" s="882">
        <v>0</v>
      </c>
      <c r="J47" s="882"/>
      <c r="K47" s="882"/>
      <c r="L47" s="1176"/>
      <c r="M47" s="881">
        <v>0</v>
      </c>
      <c r="N47" s="882">
        <v>0</v>
      </c>
      <c r="O47" s="882">
        <v>0</v>
      </c>
      <c r="P47" s="882">
        <v>0</v>
      </c>
      <c r="Q47" s="882">
        <v>0</v>
      </c>
      <c r="R47" s="880"/>
      <c r="S47" s="880"/>
      <c r="T47" s="1176" t="e">
        <f t="shared" si="6"/>
        <v>#DIV/0!</v>
      </c>
      <c r="U47" s="881">
        <v>0</v>
      </c>
      <c r="V47" s="882">
        <v>0</v>
      </c>
      <c r="W47" s="882">
        <v>0</v>
      </c>
      <c r="X47" s="882">
        <v>0</v>
      </c>
      <c r="Y47" s="882">
        <v>0</v>
      </c>
      <c r="Z47" s="882">
        <f>J47</f>
        <v>0</v>
      </c>
      <c r="AA47" s="882">
        <f>K47</f>
        <v>0</v>
      </c>
      <c r="AB47" s="1176"/>
    </row>
    <row r="48" spans="1:28" ht="21.75" customHeight="1" hidden="1" thickBot="1">
      <c r="A48" s="933"/>
      <c r="B48" s="931"/>
      <c r="C48" s="1457"/>
      <c r="D48" s="1457"/>
      <c r="E48" s="526"/>
      <c r="F48" s="527"/>
      <c r="G48" s="527"/>
      <c r="H48" s="527"/>
      <c r="I48" s="527"/>
      <c r="J48" s="527"/>
      <c r="K48" s="527"/>
      <c r="L48" s="1125" t="e">
        <f t="shared" si="4"/>
        <v>#DIV/0!</v>
      </c>
      <c r="M48" s="526"/>
      <c r="N48" s="527"/>
      <c r="O48" s="527"/>
      <c r="P48" s="527"/>
      <c r="Q48" s="527"/>
      <c r="R48" s="527"/>
      <c r="S48" s="527"/>
      <c r="T48" s="1125" t="e">
        <f t="shared" si="6"/>
        <v>#DIV/0!</v>
      </c>
      <c r="U48" s="526"/>
      <c r="V48" s="527"/>
      <c r="W48" s="527"/>
      <c r="X48" s="527"/>
      <c r="Y48" s="527"/>
      <c r="Z48" s="527"/>
      <c r="AA48" s="527"/>
      <c r="AB48" s="1125"/>
    </row>
    <row r="49" spans="1:28" ht="21.75" customHeight="1" thickBot="1">
      <c r="A49" s="930" t="s">
        <v>12</v>
      </c>
      <c r="B49" s="1433" t="s">
        <v>74</v>
      </c>
      <c r="C49" s="1433"/>
      <c r="D49" s="1433"/>
      <c r="E49" s="351">
        <f aca="true" t="shared" si="24" ref="E49:J49">E50+E51</f>
        <v>0</v>
      </c>
      <c r="F49" s="103">
        <f t="shared" si="24"/>
        <v>0</v>
      </c>
      <c r="G49" s="103">
        <f t="shared" si="24"/>
        <v>460000</v>
      </c>
      <c r="H49" s="103">
        <f t="shared" si="24"/>
        <v>460000</v>
      </c>
      <c r="I49" s="103">
        <f t="shared" si="24"/>
        <v>460000</v>
      </c>
      <c r="J49" s="103">
        <f t="shared" si="24"/>
        <v>460000</v>
      </c>
      <c r="K49" s="103">
        <f>K50+K51</f>
        <v>460000</v>
      </c>
      <c r="L49" s="1089">
        <f t="shared" si="4"/>
        <v>1</v>
      </c>
      <c r="M49" s="351">
        <f aca="true" t="shared" si="25" ref="M49:S49">M50+M51</f>
        <v>0</v>
      </c>
      <c r="N49" s="103">
        <f t="shared" si="25"/>
        <v>0</v>
      </c>
      <c r="O49" s="103">
        <f t="shared" si="25"/>
        <v>460000</v>
      </c>
      <c r="P49" s="103">
        <f t="shared" si="25"/>
        <v>460000</v>
      </c>
      <c r="Q49" s="103">
        <f t="shared" si="25"/>
        <v>460000</v>
      </c>
      <c r="R49" s="103">
        <f t="shared" si="25"/>
        <v>460000</v>
      </c>
      <c r="S49" s="103">
        <f t="shared" si="25"/>
        <v>460000</v>
      </c>
      <c r="T49" s="1089">
        <f t="shared" si="6"/>
        <v>1</v>
      </c>
      <c r="U49" s="351">
        <f aca="true" t="shared" si="26" ref="U49:AA49">U50+U51</f>
        <v>0</v>
      </c>
      <c r="V49" s="103">
        <f t="shared" si="26"/>
        <v>0</v>
      </c>
      <c r="W49" s="103">
        <f t="shared" si="26"/>
        <v>0</v>
      </c>
      <c r="X49" s="103">
        <f t="shared" si="26"/>
        <v>0</v>
      </c>
      <c r="Y49" s="103">
        <f t="shared" si="26"/>
        <v>0</v>
      </c>
      <c r="Z49" s="103">
        <f t="shared" si="26"/>
        <v>0</v>
      </c>
      <c r="AA49" s="103">
        <f t="shared" si="26"/>
        <v>0</v>
      </c>
      <c r="AB49" s="1089"/>
    </row>
    <row r="50" spans="1:28" s="935" customFormat="1" ht="21.75" customHeight="1">
      <c r="A50" s="934"/>
      <c r="B50" s="931" t="s">
        <v>44</v>
      </c>
      <c r="C50" s="1448" t="s">
        <v>334</v>
      </c>
      <c r="D50" s="1448"/>
      <c r="E50" s="888"/>
      <c r="F50" s="887"/>
      <c r="G50" s="887">
        <f>60000+200000</f>
        <v>260000</v>
      </c>
      <c r="H50" s="887">
        <f>60000+200000</f>
        <v>260000</v>
      </c>
      <c r="I50" s="887">
        <f>60000+200000</f>
        <v>260000</v>
      </c>
      <c r="J50" s="887">
        <v>260000</v>
      </c>
      <c r="K50" s="887">
        <v>260000</v>
      </c>
      <c r="L50" s="1176">
        <f t="shared" si="4"/>
        <v>1</v>
      </c>
      <c r="M50" s="888"/>
      <c r="N50" s="887"/>
      <c r="O50" s="919">
        <f aca="true" t="shared" si="27" ref="O50:Q51">G50-W50</f>
        <v>260000</v>
      </c>
      <c r="P50" s="919">
        <f t="shared" si="27"/>
        <v>260000</v>
      </c>
      <c r="Q50" s="919">
        <f t="shared" si="27"/>
        <v>260000</v>
      </c>
      <c r="R50" s="880">
        <f>J50</f>
        <v>260000</v>
      </c>
      <c r="S50" s="880">
        <f>K50</f>
        <v>260000</v>
      </c>
      <c r="T50" s="1176">
        <f t="shared" si="6"/>
        <v>1</v>
      </c>
      <c r="U50" s="888">
        <v>0</v>
      </c>
      <c r="V50" s="887">
        <v>0</v>
      </c>
      <c r="W50" s="887">
        <v>0</v>
      </c>
      <c r="X50" s="887">
        <v>0</v>
      </c>
      <c r="Y50" s="887">
        <v>0</v>
      </c>
      <c r="Z50" s="887"/>
      <c r="AA50" s="887"/>
      <c r="AB50" s="1176"/>
    </row>
    <row r="51" spans="1:28" s="935" customFormat="1" ht="21.75" customHeight="1" thickBot="1">
      <c r="A51" s="917"/>
      <c r="B51" s="89" t="s">
        <v>45</v>
      </c>
      <c r="C51" s="1440" t="s">
        <v>469</v>
      </c>
      <c r="D51" s="1440"/>
      <c r="E51" s="889"/>
      <c r="F51" s="890"/>
      <c r="G51" s="890">
        <v>200000</v>
      </c>
      <c r="H51" s="890">
        <v>200000</v>
      </c>
      <c r="I51" s="890">
        <v>200000</v>
      </c>
      <c r="J51" s="890">
        <v>200000</v>
      </c>
      <c r="K51" s="890">
        <v>200000</v>
      </c>
      <c r="L51" s="1176">
        <f t="shared" si="4"/>
        <v>1</v>
      </c>
      <c r="M51" s="889"/>
      <c r="N51" s="890"/>
      <c r="O51" s="919">
        <f t="shared" si="27"/>
        <v>200000</v>
      </c>
      <c r="P51" s="919">
        <f t="shared" si="27"/>
        <v>200000</v>
      </c>
      <c r="Q51" s="919">
        <f t="shared" si="27"/>
        <v>200000</v>
      </c>
      <c r="R51" s="880">
        <f>J51</f>
        <v>200000</v>
      </c>
      <c r="S51" s="880">
        <f>K51</f>
        <v>200000</v>
      </c>
      <c r="T51" s="1176">
        <f t="shared" si="6"/>
        <v>1</v>
      </c>
      <c r="U51" s="889">
        <v>0</v>
      </c>
      <c r="V51" s="890">
        <v>0</v>
      </c>
      <c r="W51" s="890">
        <v>0</v>
      </c>
      <c r="X51" s="890">
        <v>0</v>
      </c>
      <c r="Y51" s="890">
        <v>0</v>
      </c>
      <c r="Z51" s="890"/>
      <c r="AA51" s="890"/>
      <c r="AB51" s="1176"/>
    </row>
    <row r="52" spans="1:28" ht="21.75" customHeight="1" thickBot="1">
      <c r="A52" s="930" t="s">
        <v>13</v>
      </c>
      <c r="B52" s="1433" t="s">
        <v>323</v>
      </c>
      <c r="C52" s="1433"/>
      <c r="D52" s="1433"/>
      <c r="E52" s="346">
        <f aca="true" t="shared" si="28" ref="E52:J52">SUM(E53:E54)</f>
        <v>33000000</v>
      </c>
      <c r="F52" s="284">
        <f t="shared" si="28"/>
        <v>33000000</v>
      </c>
      <c r="G52" s="284">
        <f t="shared" si="28"/>
        <v>33080000</v>
      </c>
      <c r="H52" s="284">
        <f t="shared" si="28"/>
        <v>33080000</v>
      </c>
      <c r="I52" s="284">
        <f t="shared" si="28"/>
        <v>33080000</v>
      </c>
      <c r="J52" s="284">
        <f t="shared" si="28"/>
        <v>31687000</v>
      </c>
      <c r="K52" s="284">
        <f>SUM(K53:K54)</f>
        <v>31687000</v>
      </c>
      <c r="L52" s="1079">
        <f t="shared" si="4"/>
        <v>1</v>
      </c>
      <c r="M52" s="346">
        <f aca="true" t="shared" si="29" ref="M52:S52">SUM(M53:M54)</f>
        <v>33000000</v>
      </c>
      <c r="N52" s="284">
        <f t="shared" si="29"/>
        <v>33000000</v>
      </c>
      <c r="O52" s="284">
        <f t="shared" si="29"/>
        <v>33080000</v>
      </c>
      <c r="P52" s="284">
        <f t="shared" si="29"/>
        <v>33080000</v>
      </c>
      <c r="Q52" s="284">
        <f t="shared" si="29"/>
        <v>33080000</v>
      </c>
      <c r="R52" s="284">
        <f t="shared" si="29"/>
        <v>31687000</v>
      </c>
      <c r="S52" s="284">
        <f t="shared" si="29"/>
        <v>31687000</v>
      </c>
      <c r="T52" s="1079">
        <f t="shared" si="6"/>
        <v>1</v>
      </c>
      <c r="U52" s="346">
        <f aca="true" t="shared" si="30" ref="U52:AA52">SUM(U53:U54)</f>
        <v>0</v>
      </c>
      <c r="V52" s="284">
        <f t="shared" si="30"/>
        <v>0</v>
      </c>
      <c r="W52" s="284">
        <f t="shared" si="30"/>
        <v>0</v>
      </c>
      <c r="X52" s="284">
        <f t="shared" si="30"/>
        <v>0</v>
      </c>
      <c r="Y52" s="284">
        <f t="shared" si="30"/>
        <v>0</v>
      </c>
      <c r="Z52" s="284">
        <f t="shared" si="30"/>
        <v>0</v>
      </c>
      <c r="AA52" s="284">
        <f t="shared" si="30"/>
        <v>0</v>
      </c>
      <c r="AB52" s="1079"/>
    </row>
    <row r="53" spans="1:28" s="913" customFormat="1" ht="21.75" customHeight="1">
      <c r="A53" s="936"/>
      <c r="B53" s="95" t="s">
        <v>46</v>
      </c>
      <c r="C53" s="1448" t="s">
        <v>325</v>
      </c>
      <c r="D53" s="1448"/>
      <c r="E53" s="891">
        <v>33000000</v>
      </c>
      <c r="F53" s="880">
        <v>33000000</v>
      </c>
      <c r="G53" s="880">
        <f>33000000+80000</f>
        <v>33080000</v>
      </c>
      <c r="H53" s="880">
        <f>33000000+80000</f>
        <v>33080000</v>
      </c>
      <c r="I53" s="880">
        <f>33000000+80000</f>
        <v>33080000</v>
      </c>
      <c r="J53" s="880">
        <f>80000+31607000</f>
        <v>31687000</v>
      </c>
      <c r="K53" s="880">
        <f>80000+31607000</f>
        <v>31687000</v>
      </c>
      <c r="L53" s="1176">
        <f t="shared" si="4"/>
        <v>1</v>
      </c>
      <c r="M53" s="891">
        <v>33000000</v>
      </c>
      <c r="N53" s="880">
        <v>33000000</v>
      </c>
      <c r="O53" s="919">
        <f>G53-W53</f>
        <v>33080000</v>
      </c>
      <c r="P53" s="919">
        <f>H53-X53</f>
        <v>33080000</v>
      </c>
      <c r="Q53" s="919">
        <f>I53-Y53</f>
        <v>33080000</v>
      </c>
      <c r="R53" s="880">
        <f>J53</f>
        <v>31687000</v>
      </c>
      <c r="S53" s="880">
        <f>K53</f>
        <v>31687000</v>
      </c>
      <c r="T53" s="1176">
        <f t="shared" si="6"/>
        <v>1</v>
      </c>
      <c r="U53" s="891">
        <v>0</v>
      </c>
      <c r="V53" s="880">
        <v>0</v>
      </c>
      <c r="W53" s="880">
        <v>0</v>
      </c>
      <c r="X53" s="880">
        <v>0</v>
      </c>
      <c r="Y53" s="880">
        <v>0</v>
      </c>
      <c r="Z53" s="880"/>
      <c r="AA53" s="880"/>
      <c r="AB53" s="1176"/>
    </row>
    <row r="54" spans="1:28" ht="21.75" customHeight="1" thickBot="1">
      <c r="A54" s="929"/>
      <c r="B54" s="98" t="s">
        <v>324</v>
      </c>
      <c r="C54" s="1439" t="s">
        <v>326</v>
      </c>
      <c r="D54" s="1439"/>
      <c r="E54" s="892">
        <v>0</v>
      </c>
      <c r="F54" s="893">
        <v>0</v>
      </c>
      <c r="G54" s="893">
        <v>0</v>
      </c>
      <c r="H54" s="893">
        <v>0</v>
      </c>
      <c r="I54" s="893">
        <v>0</v>
      </c>
      <c r="J54" s="893">
        <v>0</v>
      </c>
      <c r="K54" s="893">
        <v>0</v>
      </c>
      <c r="L54" s="1180"/>
      <c r="M54" s="892">
        <v>0</v>
      </c>
      <c r="N54" s="893">
        <v>0</v>
      </c>
      <c r="O54" s="893">
        <v>0</v>
      </c>
      <c r="P54" s="893">
        <v>0</v>
      </c>
      <c r="Q54" s="893">
        <v>0</v>
      </c>
      <c r="R54" s="893">
        <v>0</v>
      </c>
      <c r="S54" s="893">
        <v>0</v>
      </c>
      <c r="T54" s="1180"/>
      <c r="U54" s="892">
        <v>0</v>
      </c>
      <c r="V54" s="893">
        <v>0</v>
      </c>
      <c r="W54" s="893">
        <v>0</v>
      </c>
      <c r="X54" s="893">
        <v>0</v>
      </c>
      <c r="Y54" s="893">
        <v>0</v>
      </c>
      <c r="Z54" s="893"/>
      <c r="AA54" s="893"/>
      <c r="AB54" s="1180"/>
    </row>
    <row r="55" spans="1:28" ht="21.75" customHeight="1" thickBot="1">
      <c r="A55" s="930" t="s">
        <v>14</v>
      </c>
      <c r="B55" s="1449" t="s">
        <v>76</v>
      </c>
      <c r="C55" s="1449"/>
      <c r="D55" s="1449"/>
      <c r="E55" s="346">
        <f aca="true" t="shared" si="31" ref="E55:J55">E7+E21+E41+E49+E52+E32</f>
        <v>519654824</v>
      </c>
      <c r="F55" s="284">
        <f t="shared" si="31"/>
        <v>519654824</v>
      </c>
      <c r="G55" s="284">
        <f t="shared" si="31"/>
        <v>525020989</v>
      </c>
      <c r="H55" s="284">
        <f t="shared" si="31"/>
        <v>702351611</v>
      </c>
      <c r="I55" s="284">
        <f t="shared" si="31"/>
        <v>712869211</v>
      </c>
      <c r="J55" s="284">
        <f t="shared" si="31"/>
        <v>728837195</v>
      </c>
      <c r="K55" s="284">
        <f>K7+K21+K41+K49+K52+K32</f>
        <v>723066549</v>
      </c>
      <c r="L55" s="1079">
        <f t="shared" si="4"/>
        <v>0.9920823936544567</v>
      </c>
      <c r="M55" s="346">
        <f aca="true" t="shared" si="32" ref="M55:S55">M7+M21+M41+M49+M52+M32</f>
        <v>498709342</v>
      </c>
      <c r="N55" s="284">
        <f t="shared" si="32"/>
        <v>496718839</v>
      </c>
      <c r="O55" s="284">
        <f t="shared" si="32"/>
        <v>502240261</v>
      </c>
      <c r="P55" s="284">
        <f t="shared" si="32"/>
        <v>679570880</v>
      </c>
      <c r="Q55" s="284">
        <f t="shared" si="32"/>
        <v>690018477</v>
      </c>
      <c r="R55" s="284">
        <f t="shared" si="32"/>
        <v>708686564</v>
      </c>
      <c r="S55" s="284">
        <f t="shared" si="32"/>
        <v>702915918</v>
      </c>
      <c r="T55" s="1079">
        <f t="shared" si="6"/>
        <v>0.9918572662540276</v>
      </c>
      <c r="U55" s="346">
        <f aca="true" t="shared" si="33" ref="U55:AA55">U7+U21+U41+U49+U52+U32</f>
        <v>20945482</v>
      </c>
      <c r="V55" s="284">
        <f t="shared" si="33"/>
        <v>22935985</v>
      </c>
      <c r="W55" s="284">
        <f t="shared" si="33"/>
        <v>22780728</v>
      </c>
      <c r="X55" s="284">
        <f t="shared" si="33"/>
        <v>22780731</v>
      </c>
      <c r="Y55" s="284">
        <f t="shared" si="33"/>
        <v>22850734</v>
      </c>
      <c r="Z55" s="284">
        <f t="shared" si="33"/>
        <v>20150631</v>
      </c>
      <c r="AA55" s="284">
        <f t="shared" si="33"/>
        <v>20150631</v>
      </c>
      <c r="AB55" s="1079">
        <f>+AA55/Z55</f>
        <v>1</v>
      </c>
    </row>
    <row r="56" spans="1:28" ht="24" customHeight="1" thickBot="1">
      <c r="A56" s="96" t="s">
        <v>57</v>
      </c>
      <c r="B56" s="1433" t="s">
        <v>327</v>
      </c>
      <c r="C56" s="1433"/>
      <c r="D56" s="1433"/>
      <c r="E56" s="346">
        <f aca="true" t="shared" si="34" ref="E56:J56">SUM(E57:E59)</f>
        <v>144196013</v>
      </c>
      <c r="F56" s="284">
        <f t="shared" si="34"/>
        <v>144196013</v>
      </c>
      <c r="G56" s="284">
        <f t="shared" si="34"/>
        <v>144196013</v>
      </c>
      <c r="H56" s="284">
        <f t="shared" si="34"/>
        <v>144196013</v>
      </c>
      <c r="I56" s="284">
        <f t="shared" si="34"/>
        <v>144196013</v>
      </c>
      <c r="J56" s="284">
        <f t="shared" si="34"/>
        <v>153960393</v>
      </c>
      <c r="K56" s="284">
        <f>SUM(K57:K59)</f>
        <v>153960393</v>
      </c>
      <c r="L56" s="1079">
        <f t="shared" si="4"/>
        <v>1</v>
      </c>
      <c r="M56" s="346">
        <f aca="true" t="shared" si="35" ref="M56:S56">SUM(M57:M59)</f>
        <v>144196013</v>
      </c>
      <c r="N56" s="284">
        <f t="shared" si="35"/>
        <v>144196013</v>
      </c>
      <c r="O56" s="284">
        <f t="shared" si="35"/>
        <v>144196013</v>
      </c>
      <c r="P56" s="284">
        <f t="shared" si="35"/>
        <v>144196013</v>
      </c>
      <c r="Q56" s="284">
        <f t="shared" si="35"/>
        <v>144196013</v>
      </c>
      <c r="R56" s="284">
        <f t="shared" si="35"/>
        <v>153960393</v>
      </c>
      <c r="S56" s="284">
        <f t="shared" si="35"/>
        <v>153960393</v>
      </c>
      <c r="T56" s="1079">
        <f t="shared" si="6"/>
        <v>1</v>
      </c>
      <c r="U56" s="346">
        <f aca="true" t="shared" si="36" ref="U56:AA56">SUM(U57:U59)</f>
        <v>0</v>
      </c>
      <c r="V56" s="284">
        <f t="shared" si="36"/>
        <v>0</v>
      </c>
      <c r="W56" s="284">
        <f t="shared" si="36"/>
        <v>0</v>
      </c>
      <c r="X56" s="284">
        <f t="shared" si="36"/>
        <v>0</v>
      </c>
      <c r="Y56" s="284">
        <f t="shared" si="36"/>
        <v>0</v>
      </c>
      <c r="Z56" s="284">
        <f t="shared" si="36"/>
        <v>0</v>
      </c>
      <c r="AA56" s="284">
        <f t="shared" si="36"/>
        <v>0</v>
      </c>
      <c r="AB56" s="1079"/>
    </row>
    <row r="57" spans="1:28" ht="21.75" customHeight="1">
      <c r="A57" s="926"/>
      <c r="B57" s="95" t="s">
        <v>47</v>
      </c>
      <c r="C57" s="1448" t="s">
        <v>626</v>
      </c>
      <c r="D57" s="1448"/>
      <c r="E57" s="891"/>
      <c r="F57" s="880"/>
      <c r="G57" s="880"/>
      <c r="H57" s="880"/>
      <c r="I57" s="880"/>
      <c r="J57" s="880">
        <v>9764380</v>
      </c>
      <c r="K57" s="880">
        <v>9764380</v>
      </c>
      <c r="L57" s="1176">
        <f t="shared" si="4"/>
        <v>1</v>
      </c>
      <c r="M57" s="891"/>
      <c r="N57" s="880"/>
      <c r="O57" s="880"/>
      <c r="P57" s="880"/>
      <c r="Q57" s="880"/>
      <c r="R57" s="880">
        <f aca="true" t="shared" si="37" ref="R57:S59">J57</f>
        <v>9764380</v>
      </c>
      <c r="S57" s="880">
        <f t="shared" si="37"/>
        <v>9764380</v>
      </c>
      <c r="T57" s="1176">
        <f t="shared" si="6"/>
        <v>1</v>
      </c>
      <c r="U57" s="891">
        <v>0</v>
      </c>
      <c r="V57" s="880">
        <v>0</v>
      </c>
      <c r="W57" s="880">
        <v>0</v>
      </c>
      <c r="X57" s="880">
        <v>0</v>
      </c>
      <c r="Y57" s="880">
        <v>0</v>
      </c>
      <c r="Z57" s="880"/>
      <c r="AA57" s="880"/>
      <c r="AB57" s="1176"/>
    </row>
    <row r="58" spans="1:28" ht="21.75" customHeight="1">
      <c r="A58" s="917"/>
      <c r="B58" s="932" t="s">
        <v>48</v>
      </c>
      <c r="C58" s="1448" t="s">
        <v>540</v>
      </c>
      <c r="D58" s="1448"/>
      <c r="E58" s="889">
        <v>28770000</v>
      </c>
      <c r="F58" s="890">
        <v>28770000</v>
      </c>
      <c r="G58" s="890">
        <v>28770000</v>
      </c>
      <c r="H58" s="890">
        <v>28770000</v>
      </c>
      <c r="I58" s="890">
        <v>28770000</v>
      </c>
      <c r="J58" s="889">
        <v>28770000</v>
      </c>
      <c r="K58" s="889">
        <v>28770000</v>
      </c>
      <c r="L58" s="1181">
        <f t="shared" si="4"/>
        <v>1</v>
      </c>
      <c r="M58" s="889">
        <f>E58</f>
        <v>28770000</v>
      </c>
      <c r="N58" s="890">
        <f>F58</f>
        <v>28770000</v>
      </c>
      <c r="O58" s="919">
        <f aca="true" t="shared" si="38" ref="O58:Q59">G58-W58</f>
        <v>28770000</v>
      </c>
      <c r="P58" s="919">
        <f t="shared" si="38"/>
        <v>28770000</v>
      </c>
      <c r="Q58" s="919">
        <f t="shared" si="38"/>
        <v>28770000</v>
      </c>
      <c r="R58" s="880">
        <f t="shared" si="37"/>
        <v>28770000</v>
      </c>
      <c r="S58" s="880">
        <f t="shared" si="37"/>
        <v>28770000</v>
      </c>
      <c r="T58" s="1181">
        <f t="shared" si="6"/>
        <v>1</v>
      </c>
      <c r="U58" s="889">
        <v>0</v>
      </c>
      <c r="V58" s="890">
        <v>0</v>
      </c>
      <c r="W58" s="890">
        <v>0</v>
      </c>
      <c r="X58" s="890">
        <v>0</v>
      </c>
      <c r="Y58" s="890">
        <v>0</v>
      </c>
      <c r="Z58" s="890"/>
      <c r="AA58" s="890"/>
      <c r="AB58" s="1181"/>
    </row>
    <row r="59" spans="1:28" ht="21.75" customHeight="1" thickBot="1">
      <c r="A59" s="917"/>
      <c r="B59" s="932" t="s">
        <v>75</v>
      </c>
      <c r="C59" s="1448" t="s">
        <v>328</v>
      </c>
      <c r="D59" s="1448"/>
      <c r="E59" s="889">
        <v>115426013</v>
      </c>
      <c r="F59" s="890">
        <v>115426013</v>
      </c>
      <c r="G59" s="890">
        <v>115426013</v>
      </c>
      <c r="H59" s="890">
        <v>115426013</v>
      </c>
      <c r="I59" s="890">
        <v>115426013</v>
      </c>
      <c r="J59" s="889">
        <v>115426013</v>
      </c>
      <c r="K59" s="889">
        <v>115426013</v>
      </c>
      <c r="L59" s="1176">
        <f t="shared" si="4"/>
        <v>1</v>
      </c>
      <c r="M59" s="889">
        <v>115426013</v>
      </c>
      <c r="N59" s="890">
        <v>115426013</v>
      </c>
      <c r="O59" s="919">
        <f t="shared" si="38"/>
        <v>115426013</v>
      </c>
      <c r="P59" s="919">
        <f t="shared" si="38"/>
        <v>115426013</v>
      </c>
      <c r="Q59" s="919">
        <f t="shared" si="38"/>
        <v>115426013</v>
      </c>
      <c r="R59" s="880">
        <f t="shared" si="37"/>
        <v>115426013</v>
      </c>
      <c r="S59" s="880">
        <f t="shared" si="37"/>
        <v>115426013</v>
      </c>
      <c r="T59" s="1176">
        <f t="shared" si="6"/>
        <v>1</v>
      </c>
      <c r="U59" s="889">
        <v>0</v>
      </c>
      <c r="V59" s="890">
        <v>0</v>
      </c>
      <c r="W59" s="890">
        <v>0</v>
      </c>
      <c r="X59" s="890">
        <v>0</v>
      </c>
      <c r="Y59" s="890">
        <v>0</v>
      </c>
      <c r="Z59" s="890"/>
      <c r="AA59" s="890"/>
      <c r="AB59" s="1176"/>
    </row>
    <row r="60" spans="1:28" ht="35.25" customHeight="1" thickBot="1">
      <c r="A60" s="930" t="s">
        <v>58</v>
      </c>
      <c r="B60" s="1506" t="s">
        <v>77</v>
      </c>
      <c r="C60" s="1506"/>
      <c r="D60" s="1506"/>
      <c r="E60" s="346">
        <f aca="true" t="shared" si="39" ref="E60:J60">E55+E56</f>
        <v>663850837</v>
      </c>
      <c r="F60" s="284">
        <f t="shared" si="39"/>
        <v>663850837</v>
      </c>
      <c r="G60" s="284">
        <f t="shared" si="39"/>
        <v>669217002</v>
      </c>
      <c r="H60" s="284">
        <f t="shared" si="39"/>
        <v>846547624</v>
      </c>
      <c r="I60" s="284">
        <f t="shared" si="39"/>
        <v>857065224</v>
      </c>
      <c r="J60" s="284">
        <f t="shared" si="39"/>
        <v>882797588</v>
      </c>
      <c r="K60" s="284">
        <f>K55+K56</f>
        <v>877026942</v>
      </c>
      <c r="L60" s="1079">
        <f t="shared" si="4"/>
        <v>0.9934632286285766</v>
      </c>
      <c r="M60" s="346">
        <f aca="true" t="shared" si="40" ref="M60:S60">M55+M56</f>
        <v>642905355</v>
      </c>
      <c r="N60" s="284">
        <f t="shared" si="40"/>
        <v>640914852</v>
      </c>
      <c r="O60" s="284">
        <f t="shared" si="40"/>
        <v>646436274</v>
      </c>
      <c r="P60" s="284">
        <f t="shared" si="40"/>
        <v>823766893</v>
      </c>
      <c r="Q60" s="284">
        <f t="shared" si="40"/>
        <v>834214490</v>
      </c>
      <c r="R60" s="284">
        <f t="shared" si="40"/>
        <v>862646957</v>
      </c>
      <c r="S60" s="284">
        <f t="shared" si="40"/>
        <v>856876311</v>
      </c>
      <c r="T60" s="1079">
        <f t="shared" si="6"/>
        <v>0.9933105357259145</v>
      </c>
      <c r="U60" s="346">
        <f aca="true" t="shared" si="41" ref="U60:AA60">U55+U56</f>
        <v>20945482</v>
      </c>
      <c r="V60" s="284">
        <f t="shared" si="41"/>
        <v>22935985</v>
      </c>
      <c r="W60" s="284">
        <f t="shared" si="41"/>
        <v>22780728</v>
      </c>
      <c r="X60" s="284">
        <f t="shared" si="41"/>
        <v>22780731</v>
      </c>
      <c r="Y60" s="284">
        <f t="shared" si="41"/>
        <v>22850734</v>
      </c>
      <c r="Z60" s="284">
        <f t="shared" si="41"/>
        <v>20150631</v>
      </c>
      <c r="AA60" s="284">
        <f t="shared" si="41"/>
        <v>20150631</v>
      </c>
      <c r="AB60" s="1079">
        <f>+AA60/Z60</f>
        <v>1</v>
      </c>
    </row>
    <row r="61" spans="1:28" ht="21.75" customHeight="1" hidden="1" thickBot="1">
      <c r="A61" s="1507" t="s">
        <v>240</v>
      </c>
      <c r="B61" s="1508"/>
      <c r="C61" s="1508"/>
      <c r="D61" s="1508"/>
      <c r="E61" s="937"/>
      <c r="F61" s="938"/>
      <c r="G61" s="938"/>
      <c r="H61" s="938"/>
      <c r="I61" s="938"/>
      <c r="J61" s="938"/>
      <c r="K61" s="938"/>
      <c r="L61" s="1182" t="e">
        <f t="shared" si="4"/>
        <v>#DIV/0!</v>
      </c>
      <c r="M61" s="937"/>
      <c r="N61" s="938"/>
      <c r="O61" s="938"/>
      <c r="P61" s="938"/>
      <c r="Q61" s="938"/>
      <c r="R61" s="938"/>
      <c r="S61" s="938"/>
      <c r="T61" s="1182" t="e">
        <f t="shared" si="6"/>
        <v>#DIV/0!</v>
      </c>
      <c r="U61" s="937"/>
      <c r="V61" s="938"/>
      <c r="W61" s="938"/>
      <c r="X61" s="938"/>
      <c r="Y61" s="938"/>
      <c r="Z61" s="938"/>
      <c r="AA61" s="938"/>
      <c r="AB61" s="1182" t="e">
        <f>+AA61/Z61</f>
        <v>#DIV/0!</v>
      </c>
    </row>
    <row r="62" spans="1:28" ht="21.75" customHeight="1" thickBot="1">
      <c r="A62" s="1505" t="s">
        <v>7</v>
      </c>
      <c r="B62" s="1506"/>
      <c r="C62" s="1506"/>
      <c r="D62" s="1506"/>
      <c r="E62" s="939">
        <f aca="true" t="shared" si="42" ref="E62:J62">E60+E61</f>
        <v>663850837</v>
      </c>
      <c r="F62" s="940">
        <f t="shared" si="42"/>
        <v>663850837</v>
      </c>
      <c r="G62" s="940">
        <f t="shared" si="42"/>
        <v>669217002</v>
      </c>
      <c r="H62" s="940">
        <f t="shared" si="42"/>
        <v>846547624</v>
      </c>
      <c r="I62" s="940">
        <f t="shared" si="42"/>
        <v>857065224</v>
      </c>
      <c r="J62" s="940">
        <f t="shared" si="42"/>
        <v>882797588</v>
      </c>
      <c r="K62" s="940">
        <f>K60+K61</f>
        <v>877026942</v>
      </c>
      <c r="L62" s="1183">
        <f t="shared" si="4"/>
        <v>0.9934632286285766</v>
      </c>
      <c r="M62" s="939">
        <f aca="true" t="shared" si="43" ref="M62:S62">M60+M61</f>
        <v>642905355</v>
      </c>
      <c r="N62" s="940">
        <f t="shared" si="43"/>
        <v>640914852</v>
      </c>
      <c r="O62" s="940">
        <f t="shared" si="43"/>
        <v>646436274</v>
      </c>
      <c r="P62" s="940">
        <f t="shared" si="43"/>
        <v>823766893</v>
      </c>
      <c r="Q62" s="940">
        <f t="shared" si="43"/>
        <v>834214490</v>
      </c>
      <c r="R62" s="940">
        <f t="shared" si="43"/>
        <v>862646957</v>
      </c>
      <c r="S62" s="940">
        <f t="shared" si="43"/>
        <v>856876311</v>
      </c>
      <c r="T62" s="1183">
        <f t="shared" si="6"/>
        <v>0.9933105357259145</v>
      </c>
      <c r="U62" s="939">
        <f aca="true" t="shared" si="44" ref="U62:AA62">U60+U61</f>
        <v>20945482</v>
      </c>
      <c r="V62" s="940">
        <f t="shared" si="44"/>
        <v>22935985</v>
      </c>
      <c r="W62" s="940">
        <f t="shared" si="44"/>
        <v>22780728</v>
      </c>
      <c r="X62" s="940">
        <f t="shared" si="44"/>
        <v>22780731</v>
      </c>
      <c r="Y62" s="940">
        <f t="shared" si="44"/>
        <v>22850734</v>
      </c>
      <c r="Z62" s="940">
        <f t="shared" si="44"/>
        <v>20150631</v>
      </c>
      <c r="AA62" s="940">
        <f t="shared" si="44"/>
        <v>20150631</v>
      </c>
      <c r="AB62" s="1183">
        <f>+AA62/Z62</f>
        <v>1</v>
      </c>
    </row>
    <row r="63" spans="1:28" ht="21.75" customHeight="1">
      <c r="A63" s="941"/>
      <c r="B63" s="942"/>
      <c r="C63" s="942"/>
      <c r="D63" s="942"/>
      <c r="E63" s="943"/>
      <c r="F63" s="943"/>
      <c r="G63" s="944"/>
      <c r="H63" s="943"/>
      <c r="I63" s="943"/>
      <c r="J63" s="944"/>
      <c r="K63" s="944"/>
      <c r="L63" s="943"/>
      <c r="M63" s="943"/>
      <c r="N63" s="943"/>
      <c r="O63" s="943"/>
      <c r="P63" s="944"/>
      <c r="Q63" s="943"/>
      <c r="R63" s="943"/>
      <c r="S63" s="944"/>
      <c r="T63" s="943"/>
      <c r="U63" s="943"/>
      <c r="V63" s="943"/>
      <c r="W63" s="943"/>
      <c r="X63" s="943"/>
      <c r="Y63" s="943"/>
      <c r="Z63" s="943"/>
      <c r="AA63" s="943"/>
      <c r="AB63" s="943"/>
    </row>
    <row r="64" spans="1:24" ht="21.75" customHeight="1">
      <c r="A64" s="945"/>
      <c r="B64" s="946"/>
      <c r="C64" s="946"/>
      <c r="D64" s="946"/>
      <c r="E64" s="903"/>
      <c r="F64" s="903"/>
      <c r="G64" s="935"/>
      <c r="H64" s="903"/>
      <c r="L64" s="903"/>
      <c r="M64" s="935"/>
      <c r="V64" s="903"/>
      <c r="W64" s="903"/>
      <c r="X64" s="903"/>
    </row>
    <row r="65" spans="1:24" ht="35.25" customHeight="1">
      <c r="A65" s="945"/>
      <c r="B65" s="946"/>
      <c r="C65" s="946"/>
      <c r="D65" s="946"/>
      <c r="E65" s="947" t="str">
        <f>IF(E62='4.sz.m.ÖNK kiadás'!E39," ","HIBA - eltérő összesen")</f>
        <v> </v>
      </c>
      <c r="F65" s="947" t="str">
        <f>IF(F62='4.sz.m.ÖNK kiadás'!F39," ","HIBA - eltérő összesen")</f>
        <v> </v>
      </c>
      <c r="G65" s="947"/>
      <c r="H65" s="947"/>
      <c r="I65" s="947"/>
      <c r="J65" s="947"/>
      <c r="K65" s="947"/>
      <c r="L65" s="903"/>
      <c r="M65" s="903"/>
      <c r="N65" s="903"/>
      <c r="O65" s="903"/>
      <c r="Q65" s="903"/>
      <c r="R65" s="903"/>
      <c r="S65" s="903"/>
      <c r="T65" s="903"/>
      <c r="V65" s="903"/>
      <c r="W65" s="903"/>
      <c r="X65" s="903"/>
    </row>
    <row r="66" spans="1:24" ht="35.25" customHeight="1">
      <c r="A66" s="945"/>
      <c r="B66" s="946"/>
      <c r="C66" s="946"/>
      <c r="D66" s="946"/>
      <c r="E66" s="948" t="str">
        <f>IF(M62+U62=E62," ","HIBA-nincs egyenlőség")</f>
        <v> </v>
      </c>
      <c r="F66" s="948" t="str">
        <f>IF(N62+V62=F62," ","HIBA-nincs egyenlőség")</f>
        <v> </v>
      </c>
      <c r="G66" s="948"/>
      <c r="H66" s="948"/>
      <c r="I66" s="948"/>
      <c r="J66" s="948"/>
      <c r="K66" s="948"/>
      <c r="L66" s="948"/>
      <c r="M66" s="903"/>
      <c r="N66" s="903"/>
      <c r="O66" s="903"/>
      <c r="P66" s="903"/>
      <c r="Q66" s="903"/>
      <c r="R66" s="903"/>
      <c r="S66" s="903"/>
      <c r="T66" s="903"/>
      <c r="V66" s="903"/>
      <c r="W66" s="903"/>
      <c r="X66" s="903"/>
    </row>
    <row r="67" spans="5:24" ht="12.75"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  <c r="P67" s="903"/>
      <c r="Q67" s="903"/>
      <c r="R67" s="903"/>
      <c r="S67" s="903"/>
      <c r="T67" s="903"/>
      <c r="V67" s="903"/>
      <c r="W67" s="903"/>
      <c r="X67" s="903"/>
    </row>
    <row r="68" spans="5:24" ht="12.75"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V68" s="903"/>
      <c r="W68" s="903"/>
      <c r="X68" s="903"/>
    </row>
    <row r="69" spans="5:24" ht="12.75">
      <c r="E69" s="903"/>
      <c r="F69" s="903"/>
      <c r="G69" s="903"/>
      <c r="H69" s="903"/>
      <c r="I69" s="903"/>
      <c r="J69" s="903"/>
      <c r="K69" s="903"/>
      <c r="L69" s="903"/>
      <c r="M69" s="903"/>
      <c r="N69" s="903"/>
      <c r="O69" s="903"/>
      <c r="P69" s="903"/>
      <c r="Q69" s="903"/>
      <c r="R69" s="903"/>
      <c r="S69" s="903"/>
      <c r="T69" s="903"/>
      <c r="V69" s="903"/>
      <c r="W69" s="903"/>
      <c r="X69" s="903"/>
    </row>
    <row r="70" spans="4:24" ht="12.75">
      <c r="D70" s="951"/>
      <c r="E70" s="903"/>
      <c r="F70" s="903"/>
      <c r="G70" s="903"/>
      <c r="H70" s="903"/>
      <c r="I70" s="903"/>
      <c r="J70" s="903"/>
      <c r="K70" s="903"/>
      <c r="L70" s="903"/>
      <c r="M70" s="903"/>
      <c r="N70" s="903"/>
      <c r="O70" s="903"/>
      <c r="P70" s="903"/>
      <c r="Q70" s="903"/>
      <c r="R70" s="903"/>
      <c r="S70" s="903"/>
      <c r="T70" s="903"/>
      <c r="V70" s="903"/>
      <c r="W70" s="903"/>
      <c r="X70" s="903"/>
    </row>
    <row r="71" spans="4:24" ht="48.75" customHeight="1">
      <c r="D71" s="951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V71" s="903"/>
      <c r="W71" s="903"/>
      <c r="X71" s="903"/>
    </row>
    <row r="72" spans="4:24" ht="46.5" customHeight="1">
      <c r="D72" s="951"/>
      <c r="E72" s="903"/>
      <c r="F72" s="903"/>
      <c r="G72" s="903"/>
      <c r="H72" s="903"/>
      <c r="I72" s="903"/>
      <c r="J72" s="903"/>
      <c r="K72" s="903"/>
      <c r="L72" s="903"/>
      <c r="M72" s="903"/>
      <c r="N72" s="903"/>
      <c r="O72" s="903"/>
      <c r="P72" s="903"/>
      <c r="Q72" s="903"/>
      <c r="R72" s="903"/>
      <c r="S72" s="903"/>
      <c r="T72" s="903"/>
      <c r="V72" s="903"/>
      <c r="W72" s="903"/>
      <c r="X72" s="903"/>
    </row>
    <row r="73" spans="5:24" ht="41.25" customHeight="1"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903"/>
      <c r="P73" s="903"/>
      <c r="Q73" s="903"/>
      <c r="R73" s="903"/>
      <c r="S73" s="903"/>
      <c r="T73" s="903"/>
      <c r="V73" s="903"/>
      <c r="W73" s="903"/>
      <c r="X73" s="903"/>
    </row>
    <row r="74" spans="5:24" ht="12.75">
      <c r="E74" s="903"/>
      <c r="F74" s="903"/>
      <c r="G74" s="903"/>
      <c r="H74" s="903"/>
      <c r="I74" s="903"/>
      <c r="J74" s="903"/>
      <c r="K74" s="903"/>
      <c r="L74" s="903"/>
      <c r="M74" s="903"/>
      <c r="N74" s="903"/>
      <c r="O74" s="903"/>
      <c r="P74" s="903"/>
      <c r="Q74" s="903"/>
      <c r="R74" s="903"/>
      <c r="S74" s="903"/>
      <c r="T74" s="903"/>
      <c r="V74" s="903"/>
      <c r="W74" s="903"/>
      <c r="X74" s="903"/>
    </row>
    <row r="75" spans="5:24" ht="12.75">
      <c r="E75" s="903"/>
      <c r="F75" s="903"/>
      <c r="G75" s="903"/>
      <c r="H75" s="903"/>
      <c r="I75" s="903"/>
      <c r="J75" s="903"/>
      <c r="K75" s="903"/>
      <c r="L75" s="903"/>
      <c r="M75" s="903"/>
      <c r="N75" s="903"/>
      <c r="O75" s="903"/>
      <c r="P75" s="903"/>
      <c r="Q75" s="903"/>
      <c r="R75" s="903"/>
      <c r="S75" s="903"/>
      <c r="T75" s="903"/>
      <c r="V75" s="903"/>
      <c r="W75" s="903"/>
      <c r="X75" s="903"/>
    </row>
    <row r="76" spans="5:24" ht="12.75">
      <c r="E76" s="903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3"/>
      <c r="S76" s="903"/>
      <c r="T76" s="903"/>
      <c r="V76" s="903"/>
      <c r="W76" s="903"/>
      <c r="X76" s="903"/>
    </row>
    <row r="77" spans="5:24" ht="12.75"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3"/>
      <c r="T77" s="903"/>
      <c r="V77" s="903"/>
      <c r="W77" s="903"/>
      <c r="X77" s="903"/>
    </row>
    <row r="78" spans="5:24" ht="12.75"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V78" s="903"/>
      <c r="W78" s="903"/>
      <c r="X78" s="903"/>
    </row>
    <row r="79" spans="5:24" ht="12.75"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/>
      <c r="P79" s="903"/>
      <c r="Q79" s="903"/>
      <c r="R79" s="903"/>
      <c r="S79" s="903"/>
      <c r="T79" s="903"/>
      <c r="V79" s="903"/>
      <c r="W79" s="903"/>
      <c r="X79" s="903"/>
    </row>
    <row r="80" spans="5:24" ht="12.75"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3"/>
      <c r="T80" s="903"/>
      <c r="V80" s="903"/>
      <c r="W80" s="903"/>
      <c r="X80" s="903"/>
    </row>
    <row r="81" spans="5:24" ht="12.75">
      <c r="E81" s="903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V81" s="903"/>
      <c r="W81" s="903"/>
      <c r="X81" s="903"/>
    </row>
    <row r="82" spans="5:24" ht="12.75"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903"/>
      <c r="Q82" s="903"/>
      <c r="R82" s="903"/>
      <c r="S82" s="903"/>
      <c r="T82" s="903"/>
      <c r="V82" s="903"/>
      <c r="W82" s="903"/>
      <c r="X82" s="903"/>
    </row>
    <row r="83" spans="5:24" ht="12.75"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V83" s="903"/>
      <c r="W83" s="903"/>
      <c r="X83" s="903"/>
    </row>
    <row r="84" spans="5:24" ht="12.75">
      <c r="E84" s="903"/>
      <c r="F84" s="903"/>
      <c r="G84" s="903"/>
      <c r="H84" s="903"/>
      <c r="I84" s="903"/>
      <c r="J84" s="903"/>
      <c r="K84" s="903"/>
      <c r="L84" s="903"/>
      <c r="M84" s="903"/>
      <c r="N84" s="903"/>
      <c r="O84" s="903"/>
      <c r="P84" s="903"/>
      <c r="Q84" s="903"/>
      <c r="R84" s="903"/>
      <c r="S84" s="903"/>
      <c r="T84" s="903"/>
      <c r="V84" s="903"/>
      <c r="W84" s="903"/>
      <c r="X84" s="903"/>
    </row>
    <row r="85" spans="5:24" ht="12.75">
      <c r="E85" s="903"/>
      <c r="F85" s="903"/>
      <c r="G85" s="903"/>
      <c r="H85" s="903"/>
      <c r="I85" s="903"/>
      <c r="J85" s="903"/>
      <c r="K85" s="903"/>
      <c r="L85" s="903"/>
      <c r="M85" s="903"/>
      <c r="N85" s="903"/>
      <c r="O85" s="903"/>
      <c r="P85" s="903"/>
      <c r="Q85" s="903"/>
      <c r="R85" s="903"/>
      <c r="S85" s="903"/>
      <c r="T85" s="903"/>
      <c r="V85" s="903"/>
      <c r="W85" s="903"/>
      <c r="X85" s="903"/>
    </row>
    <row r="86" spans="5:24" ht="12.75">
      <c r="E86" s="903"/>
      <c r="F86" s="903"/>
      <c r="G86" s="903"/>
      <c r="H86" s="903"/>
      <c r="I86" s="903"/>
      <c r="J86" s="903"/>
      <c r="K86" s="903"/>
      <c r="L86" s="903"/>
      <c r="M86" s="903"/>
      <c r="N86" s="903"/>
      <c r="O86" s="903"/>
      <c r="P86" s="903"/>
      <c r="Q86" s="903"/>
      <c r="R86" s="903"/>
      <c r="S86" s="903"/>
      <c r="T86" s="903"/>
      <c r="V86" s="903"/>
      <c r="W86" s="903"/>
      <c r="X86" s="903"/>
    </row>
    <row r="87" spans="5:24" ht="12.75"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V87" s="903"/>
      <c r="W87" s="903"/>
      <c r="X87" s="903"/>
    </row>
    <row r="88" spans="5:24" ht="12.75"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V88" s="903"/>
      <c r="W88" s="903"/>
      <c r="X88" s="903"/>
    </row>
    <row r="89" spans="5:24" ht="12.75">
      <c r="E89" s="903"/>
      <c r="F89" s="903"/>
      <c r="G89" s="903"/>
      <c r="H89" s="903"/>
      <c r="I89" s="903"/>
      <c r="J89" s="903"/>
      <c r="K89" s="903"/>
      <c r="L89" s="903"/>
      <c r="M89" s="903"/>
      <c r="N89" s="903"/>
      <c r="O89" s="903"/>
      <c r="P89" s="903"/>
      <c r="Q89" s="903"/>
      <c r="R89" s="903"/>
      <c r="S89" s="903"/>
      <c r="T89" s="903"/>
      <c r="V89" s="903"/>
      <c r="W89" s="903"/>
      <c r="X89" s="903"/>
    </row>
    <row r="90" spans="5:24" ht="12.75"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V90" s="903"/>
      <c r="W90" s="903"/>
      <c r="X90" s="903"/>
    </row>
    <row r="91" spans="5:24" ht="12.75"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V91" s="903"/>
      <c r="W91" s="903"/>
      <c r="X91" s="903"/>
    </row>
    <row r="92" spans="5:24" ht="12.75"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V92" s="903"/>
      <c r="W92" s="903"/>
      <c r="X92" s="903"/>
    </row>
    <row r="93" spans="5:24" ht="12.75"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V93" s="903"/>
      <c r="W93" s="903"/>
      <c r="X93" s="903"/>
    </row>
    <row r="94" spans="5:24" ht="12.75">
      <c r="E94" s="903"/>
      <c r="F94" s="903"/>
      <c r="G94" s="903"/>
      <c r="H94" s="903"/>
      <c r="I94" s="903"/>
      <c r="J94" s="903"/>
      <c r="K94" s="903"/>
      <c r="L94" s="903"/>
      <c r="M94" s="903"/>
      <c r="N94" s="903"/>
      <c r="O94" s="903"/>
      <c r="P94" s="903"/>
      <c r="Q94" s="903"/>
      <c r="R94" s="903"/>
      <c r="S94" s="903"/>
      <c r="T94" s="903"/>
      <c r="V94" s="903"/>
      <c r="W94" s="903"/>
      <c r="X94" s="903"/>
    </row>
    <row r="95" spans="5:24" ht="12.75">
      <c r="E95" s="903"/>
      <c r="F95" s="903"/>
      <c r="G95" s="903"/>
      <c r="H95" s="903"/>
      <c r="I95" s="903"/>
      <c r="J95" s="903"/>
      <c r="K95" s="903"/>
      <c r="L95" s="903"/>
      <c r="M95" s="903"/>
      <c r="N95" s="903"/>
      <c r="O95" s="903"/>
      <c r="P95" s="903"/>
      <c r="Q95" s="903"/>
      <c r="R95" s="903"/>
      <c r="S95" s="903"/>
      <c r="T95" s="903"/>
      <c r="V95" s="903"/>
      <c r="W95" s="903"/>
      <c r="X95" s="903"/>
    </row>
    <row r="96" spans="5:24" ht="12.75"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V96" s="903"/>
      <c r="W96" s="903"/>
      <c r="X96" s="903"/>
    </row>
    <row r="97" spans="5:24" ht="12.75">
      <c r="E97" s="903"/>
      <c r="F97" s="903"/>
      <c r="G97" s="903"/>
      <c r="H97" s="903"/>
      <c r="I97" s="903"/>
      <c r="J97" s="903"/>
      <c r="K97" s="903"/>
      <c r="L97" s="903"/>
      <c r="M97" s="903"/>
      <c r="N97" s="903"/>
      <c r="O97" s="903"/>
      <c r="P97" s="903"/>
      <c r="Q97" s="903"/>
      <c r="R97" s="903"/>
      <c r="S97" s="903"/>
      <c r="T97" s="903"/>
      <c r="V97" s="903"/>
      <c r="W97" s="903"/>
      <c r="X97" s="903"/>
    </row>
    <row r="98" spans="5:24" ht="12.75">
      <c r="E98" s="903"/>
      <c r="F98" s="903"/>
      <c r="G98" s="903"/>
      <c r="H98" s="903"/>
      <c r="I98" s="903"/>
      <c r="J98" s="903"/>
      <c r="K98" s="903"/>
      <c r="L98" s="903"/>
      <c r="M98" s="903"/>
      <c r="N98" s="903"/>
      <c r="O98" s="903"/>
      <c r="P98" s="903"/>
      <c r="Q98" s="903"/>
      <c r="R98" s="903"/>
      <c r="S98" s="903"/>
      <c r="T98" s="903"/>
      <c r="V98" s="903"/>
      <c r="W98" s="903"/>
      <c r="X98" s="903"/>
    </row>
    <row r="99" spans="5:24" ht="12.75">
      <c r="E99" s="903"/>
      <c r="F99" s="903"/>
      <c r="G99" s="903"/>
      <c r="H99" s="903"/>
      <c r="I99" s="903"/>
      <c r="J99" s="903"/>
      <c r="K99" s="903"/>
      <c r="L99" s="903"/>
      <c r="M99" s="903"/>
      <c r="N99" s="903"/>
      <c r="O99" s="903"/>
      <c r="P99" s="903"/>
      <c r="Q99" s="903"/>
      <c r="R99" s="903"/>
      <c r="S99" s="903"/>
      <c r="T99" s="903"/>
      <c r="V99" s="903"/>
      <c r="W99" s="903"/>
      <c r="X99" s="903"/>
    </row>
    <row r="100" spans="5:24" ht="12.75">
      <c r="E100" s="903"/>
      <c r="F100" s="903"/>
      <c r="G100" s="903"/>
      <c r="H100" s="903"/>
      <c r="I100" s="903"/>
      <c r="J100" s="903"/>
      <c r="K100" s="903"/>
      <c r="L100" s="903"/>
      <c r="M100" s="903"/>
      <c r="N100" s="903"/>
      <c r="O100" s="903"/>
      <c r="P100" s="903"/>
      <c r="Q100" s="903"/>
      <c r="R100" s="903"/>
      <c r="S100" s="903"/>
      <c r="T100" s="903"/>
      <c r="V100" s="903"/>
      <c r="W100" s="903"/>
      <c r="X100" s="903"/>
    </row>
    <row r="101" spans="5:24" ht="12.75">
      <c r="E101" s="903"/>
      <c r="F101" s="903"/>
      <c r="G101" s="903"/>
      <c r="H101" s="903"/>
      <c r="I101" s="903"/>
      <c r="J101" s="903"/>
      <c r="K101" s="903"/>
      <c r="L101" s="903"/>
      <c r="M101" s="903"/>
      <c r="N101" s="903"/>
      <c r="O101" s="903"/>
      <c r="P101" s="903"/>
      <c r="Q101" s="903"/>
      <c r="R101" s="903"/>
      <c r="S101" s="903"/>
      <c r="T101" s="903"/>
      <c r="V101" s="903"/>
      <c r="W101" s="903"/>
      <c r="X101" s="903"/>
    </row>
    <row r="102" spans="5:24" ht="12.75">
      <c r="E102" s="903"/>
      <c r="F102" s="903"/>
      <c r="G102" s="903"/>
      <c r="H102" s="903"/>
      <c r="I102" s="903"/>
      <c r="J102" s="903"/>
      <c r="K102" s="903"/>
      <c r="L102" s="903"/>
      <c r="M102" s="903"/>
      <c r="N102" s="903"/>
      <c r="O102" s="903"/>
      <c r="P102" s="903"/>
      <c r="Q102" s="903"/>
      <c r="R102" s="903"/>
      <c r="S102" s="903"/>
      <c r="T102" s="903"/>
      <c r="V102" s="903"/>
      <c r="W102" s="903"/>
      <c r="X102" s="903"/>
    </row>
    <row r="103" spans="5:24" ht="12.75">
      <c r="E103" s="903"/>
      <c r="F103" s="903"/>
      <c r="G103" s="903"/>
      <c r="H103" s="903"/>
      <c r="I103" s="903"/>
      <c r="J103" s="903"/>
      <c r="K103" s="903"/>
      <c r="L103" s="903"/>
      <c r="M103" s="903"/>
      <c r="N103" s="903"/>
      <c r="O103" s="903"/>
      <c r="P103" s="903"/>
      <c r="Q103" s="903"/>
      <c r="R103" s="903"/>
      <c r="S103" s="903"/>
      <c r="T103" s="903"/>
      <c r="V103" s="903"/>
      <c r="W103" s="903"/>
      <c r="X103" s="903"/>
    </row>
    <row r="104" spans="5:24" ht="12.75">
      <c r="E104" s="903"/>
      <c r="F104" s="903"/>
      <c r="G104" s="903"/>
      <c r="H104" s="903"/>
      <c r="I104" s="903"/>
      <c r="J104" s="903"/>
      <c r="K104" s="903"/>
      <c r="L104" s="903"/>
      <c r="M104" s="903"/>
      <c r="N104" s="903"/>
      <c r="O104" s="903"/>
      <c r="P104" s="903"/>
      <c r="Q104" s="903"/>
      <c r="R104" s="903"/>
      <c r="S104" s="903"/>
      <c r="T104" s="903"/>
      <c r="V104" s="903"/>
      <c r="W104" s="903"/>
      <c r="X104" s="903"/>
    </row>
    <row r="105" spans="5:24" ht="12.75"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V105" s="903"/>
      <c r="W105" s="903"/>
      <c r="X105" s="903"/>
    </row>
    <row r="106" spans="5:24" ht="12.75"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V106" s="903"/>
      <c r="W106" s="903"/>
      <c r="X106" s="903"/>
    </row>
    <row r="107" spans="5:24" ht="12.75">
      <c r="E107" s="903"/>
      <c r="F107" s="903"/>
      <c r="G107" s="903"/>
      <c r="H107" s="903"/>
      <c r="I107" s="903"/>
      <c r="J107" s="903"/>
      <c r="K107" s="903"/>
      <c r="L107" s="903"/>
      <c r="M107" s="903"/>
      <c r="N107" s="903"/>
      <c r="O107" s="903"/>
      <c r="P107" s="903"/>
      <c r="Q107" s="903"/>
      <c r="R107" s="903"/>
      <c r="S107" s="903"/>
      <c r="T107" s="903"/>
      <c r="V107" s="903"/>
      <c r="W107" s="903"/>
      <c r="X107" s="903"/>
    </row>
    <row r="108" spans="5:24" ht="12.75">
      <c r="E108" s="903"/>
      <c r="F108" s="903"/>
      <c r="G108" s="903"/>
      <c r="H108" s="903"/>
      <c r="I108" s="903"/>
      <c r="J108" s="903"/>
      <c r="K108" s="903"/>
      <c r="L108" s="903"/>
      <c r="M108" s="903"/>
      <c r="N108" s="903"/>
      <c r="O108" s="903"/>
      <c r="P108" s="903"/>
      <c r="Q108" s="903"/>
      <c r="R108" s="903"/>
      <c r="S108" s="903"/>
      <c r="T108" s="903"/>
      <c r="V108" s="903"/>
      <c r="W108" s="903"/>
      <c r="X108" s="903"/>
    </row>
    <row r="109" spans="5:24" ht="12.75"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V109" s="903"/>
      <c r="W109" s="903"/>
      <c r="X109" s="903"/>
    </row>
    <row r="110" spans="5:24" ht="12.75">
      <c r="E110" s="903"/>
      <c r="F110" s="903"/>
      <c r="G110" s="903"/>
      <c r="H110" s="903"/>
      <c r="I110" s="903"/>
      <c r="J110" s="903"/>
      <c r="K110" s="903"/>
      <c r="L110" s="903"/>
      <c r="M110" s="903"/>
      <c r="N110" s="903"/>
      <c r="O110" s="903"/>
      <c r="P110" s="903"/>
      <c r="Q110" s="903"/>
      <c r="R110" s="903"/>
      <c r="S110" s="903"/>
      <c r="T110" s="903"/>
      <c r="V110" s="903"/>
      <c r="W110" s="903"/>
      <c r="X110" s="903"/>
    </row>
    <row r="111" spans="5:24" ht="12.75">
      <c r="E111" s="903"/>
      <c r="F111" s="903"/>
      <c r="G111" s="903"/>
      <c r="H111" s="903"/>
      <c r="I111" s="903"/>
      <c r="J111" s="903"/>
      <c r="K111" s="903"/>
      <c r="L111" s="903"/>
      <c r="M111" s="903"/>
      <c r="N111" s="903"/>
      <c r="O111" s="903"/>
      <c r="P111" s="903"/>
      <c r="Q111" s="903"/>
      <c r="R111" s="903"/>
      <c r="S111" s="903"/>
      <c r="T111" s="903"/>
      <c r="V111" s="903"/>
      <c r="W111" s="903"/>
      <c r="X111" s="903"/>
    </row>
  </sheetData>
  <sheetProtection/>
  <mergeCells count="46">
    <mergeCell ref="U1:Y1"/>
    <mergeCell ref="C20:D20"/>
    <mergeCell ref="C29:D29"/>
    <mergeCell ref="C30:D30"/>
    <mergeCell ref="C36:D36"/>
    <mergeCell ref="B32:D32"/>
    <mergeCell ref="C33:D33"/>
    <mergeCell ref="C34:D34"/>
    <mergeCell ref="C35:D35"/>
    <mergeCell ref="A2:U2"/>
    <mergeCell ref="A4:C4"/>
    <mergeCell ref="B6:D6"/>
    <mergeCell ref="B7:D7"/>
    <mergeCell ref="E4:L4"/>
    <mergeCell ref="M4:T4"/>
    <mergeCell ref="U4:AB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0" zoomScaleNormal="70" zoomScalePageLayoutView="85" workbookViewId="0" topLeftCell="B17">
      <selection activeCell="E1" sqref="E1:Y1"/>
    </sheetView>
  </sheetViews>
  <sheetFormatPr defaultColWidth="9.140625" defaultRowHeight="12.75"/>
  <cols>
    <col min="1" max="1" width="5.8515625" style="108" customWidth="1"/>
    <col min="2" max="2" width="8.140625" style="115" customWidth="1"/>
    <col min="3" max="3" width="6.8515625" style="115" customWidth="1"/>
    <col min="4" max="4" width="50.140625" style="116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1" width="22.7109375" style="1" customWidth="1"/>
    <col min="12" max="12" width="14.8515625" style="1" customWidth="1"/>
    <col min="13" max="13" width="20.7109375" style="66" customWidth="1"/>
    <col min="14" max="14" width="16.421875" style="66" hidden="1" customWidth="1"/>
    <col min="15" max="15" width="18.28125" style="66" hidden="1" customWidth="1"/>
    <col min="16" max="16" width="15.7109375" style="66" hidden="1" customWidth="1"/>
    <col min="17" max="17" width="17.140625" style="66" hidden="1" customWidth="1"/>
    <col min="18" max="19" width="16.7109375" style="66" customWidth="1"/>
    <col min="20" max="20" width="15.28125" style="66" customWidth="1"/>
    <col min="21" max="21" width="22.140625" style="66" customWidth="1"/>
    <col min="22" max="22" width="14.8515625" style="66" hidden="1" customWidth="1"/>
    <col min="23" max="23" width="15.7109375" style="1" hidden="1" customWidth="1"/>
    <col min="24" max="24" width="17.7109375" style="1" hidden="1" customWidth="1"/>
    <col min="25" max="25" width="19.140625" style="1" hidden="1" customWidth="1"/>
    <col min="26" max="27" width="15.421875" style="1" customWidth="1"/>
    <col min="28" max="28" width="15.00390625" style="1" customWidth="1"/>
    <col min="29" max="29" width="9.140625" style="1" hidden="1" customWidth="1"/>
    <col min="30" max="30" width="9.140625" style="1" customWidth="1"/>
    <col min="31" max="31" width="16.421875" style="1" customWidth="1"/>
    <col min="32" max="16384" width="9.140625" style="1" customWidth="1"/>
  </cols>
  <sheetData>
    <row r="1" spans="5:25" ht="15.75">
      <c r="E1" s="1515" t="s">
        <v>631</v>
      </c>
      <c r="F1" s="1515"/>
      <c r="G1" s="1515"/>
      <c r="H1" s="1515"/>
      <c r="I1" s="1515"/>
      <c r="J1" s="1515"/>
      <c r="K1" s="1515"/>
      <c r="L1" s="1515"/>
      <c r="M1" s="1515"/>
      <c r="N1" s="1515"/>
      <c r="O1" s="1515"/>
      <c r="P1" s="1515"/>
      <c r="Q1" s="1515"/>
      <c r="R1" s="1515"/>
      <c r="S1" s="1515"/>
      <c r="T1" s="1515"/>
      <c r="U1" s="1515"/>
      <c r="V1" s="1515"/>
      <c r="W1" s="1515"/>
      <c r="X1" s="1515"/>
      <c r="Y1" s="1515"/>
    </row>
    <row r="2" spans="1:22" ht="37.5" customHeight="1">
      <c r="A2" s="1516" t="s">
        <v>507</v>
      </c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240"/>
    </row>
    <row r="3" spans="1:21" ht="14.25" customHeight="1" thickBot="1">
      <c r="A3" s="79"/>
      <c r="B3" s="107"/>
      <c r="C3" s="107"/>
      <c r="D3" s="117"/>
      <c r="U3" s="123" t="s">
        <v>2</v>
      </c>
    </row>
    <row r="4" spans="1:28" s="2" customFormat="1" ht="48.75" customHeight="1" thickBot="1">
      <c r="A4" s="1486" t="s">
        <v>4</v>
      </c>
      <c r="B4" s="1449"/>
      <c r="C4" s="1449"/>
      <c r="D4" s="1449"/>
      <c r="E4" s="418" t="s">
        <v>5</v>
      </c>
      <c r="F4" s="378"/>
      <c r="G4" s="378"/>
      <c r="H4" s="378"/>
      <c r="I4" s="378"/>
      <c r="J4" s="378"/>
      <c r="K4" s="378"/>
      <c r="L4" s="379"/>
      <c r="M4" s="418" t="s">
        <v>61</v>
      </c>
      <c r="N4" s="379"/>
      <c r="O4" s="782"/>
      <c r="P4" s="378"/>
      <c r="Q4" s="379"/>
      <c r="R4" s="853"/>
      <c r="S4" s="853"/>
      <c r="T4" s="298"/>
      <c r="U4" s="1488" t="s">
        <v>62</v>
      </c>
      <c r="V4" s="1489"/>
      <c r="W4" s="1489"/>
      <c r="X4" s="1489"/>
      <c r="Y4" s="1489"/>
      <c r="Z4" s="1489"/>
      <c r="AA4" s="1490"/>
      <c r="AB4" s="1491"/>
    </row>
    <row r="5" spans="1:28" s="2" customFormat="1" ht="16.5" thickBot="1">
      <c r="A5" s="294"/>
      <c r="B5" s="292"/>
      <c r="C5" s="292"/>
      <c r="D5" s="292"/>
      <c r="E5" s="377" t="s">
        <v>65</v>
      </c>
      <c r="F5" s="378" t="s">
        <v>228</v>
      </c>
      <c r="G5" s="378" t="s">
        <v>231</v>
      </c>
      <c r="H5" s="378" t="s">
        <v>233</v>
      </c>
      <c r="I5" s="378" t="s">
        <v>246</v>
      </c>
      <c r="J5" s="378" t="s">
        <v>250</v>
      </c>
      <c r="K5" s="378" t="s">
        <v>236</v>
      </c>
      <c r="L5" s="860" t="s">
        <v>237</v>
      </c>
      <c r="M5" s="377" t="s">
        <v>65</v>
      </c>
      <c r="N5" s="379" t="s">
        <v>228</v>
      </c>
      <c r="O5" s="782" t="s">
        <v>231</v>
      </c>
      <c r="P5" s="378" t="s">
        <v>233</v>
      </c>
      <c r="Q5" s="379" t="s">
        <v>246</v>
      </c>
      <c r="R5" s="782" t="s">
        <v>250</v>
      </c>
      <c r="S5" s="782" t="s">
        <v>236</v>
      </c>
      <c r="T5" s="691" t="s">
        <v>237</v>
      </c>
      <c r="U5" s="377" t="s">
        <v>65</v>
      </c>
      <c r="V5" s="378" t="s">
        <v>228</v>
      </c>
      <c r="W5" s="378" t="s">
        <v>231</v>
      </c>
      <c r="X5" s="378" t="s">
        <v>233</v>
      </c>
      <c r="Y5" s="378" t="s">
        <v>246</v>
      </c>
      <c r="Z5" s="378" t="s">
        <v>250</v>
      </c>
      <c r="AA5" s="782" t="s">
        <v>236</v>
      </c>
      <c r="AB5" s="860" t="s">
        <v>237</v>
      </c>
    </row>
    <row r="6" spans="1:31" s="65" customFormat="1" ht="22.5" customHeight="1" thickBot="1">
      <c r="A6" s="100" t="s">
        <v>27</v>
      </c>
      <c r="B6" s="1487" t="s">
        <v>78</v>
      </c>
      <c r="C6" s="1487"/>
      <c r="D6" s="1487"/>
      <c r="E6" s="346">
        <f aca="true" t="shared" si="0" ref="E6:J6">SUM(E7:E11)</f>
        <v>244813708</v>
      </c>
      <c r="F6" s="284">
        <f t="shared" si="0"/>
        <v>247038070</v>
      </c>
      <c r="G6" s="284">
        <f t="shared" si="0"/>
        <v>250850519</v>
      </c>
      <c r="H6" s="284">
        <f t="shared" si="0"/>
        <v>259189819</v>
      </c>
      <c r="I6" s="284">
        <f t="shared" si="0"/>
        <v>266490471</v>
      </c>
      <c r="J6" s="284">
        <f t="shared" si="0"/>
        <v>356084897</v>
      </c>
      <c r="K6" s="284">
        <f>SUM(K7:K11)</f>
        <v>235016998</v>
      </c>
      <c r="L6" s="1079">
        <f>+K6/J6</f>
        <v>0.6600027127800369</v>
      </c>
      <c r="M6" s="346">
        <f aca="true" t="shared" si="1" ref="M6:S6">SUM(M7:M11)</f>
        <v>226868226</v>
      </c>
      <c r="N6" s="346">
        <f t="shared" si="1"/>
        <v>227102087</v>
      </c>
      <c r="O6" s="346">
        <f t="shared" si="1"/>
        <v>231069795</v>
      </c>
      <c r="P6" s="346">
        <f t="shared" si="1"/>
        <v>239409094</v>
      </c>
      <c r="Q6" s="346">
        <f t="shared" si="1"/>
        <v>248298745</v>
      </c>
      <c r="R6" s="346">
        <f t="shared" si="1"/>
        <v>340804266</v>
      </c>
      <c r="S6" s="346">
        <f t="shared" si="1"/>
        <v>223202556</v>
      </c>
      <c r="T6" s="1079">
        <f>+S6/R6</f>
        <v>0.6549288793233592</v>
      </c>
      <c r="U6" s="346">
        <f>SUM(U7:U11)</f>
        <v>17945482</v>
      </c>
      <c r="V6" s="346">
        <f aca="true" t="shared" si="2" ref="V6:AC6">SUM(V7:V11)</f>
        <v>19935983</v>
      </c>
      <c r="W6" s="346">
        <f t="shared" si="2"/>
        <v>19780724</v>
      </c>
      <c r="X6" s="346">
        <f t="shared" si="2"/>
        <v>19780725</v>
      </c>
      <c r="Y6" s="346">
        <f t="shared" si="2"/>
        <v>17980726</v>
      </c>
      <c r="Z6" s="346">
        <f t="shared" si="2"/>
        <v>15280631</v>
      </c>
      <c r="AA6" s="346">
        <f>SUM(AA7:AA11)</f>
        <v>11814442</v>
      </c>
      <c r="AB6" s="1079">
        <f>+AA6/Z6</f>
        <v>0.7731645375115727</v>
      </c>
      <c r="AC6" s="346">
        <f t="shared" si="2"/>
        <v>8.600383961680983</v>
      </c>
      <c r="AE6" s="900"/>
    </row>
    <row r="7" spans="1:31" s="5" customFormat="1" ht="22.5" customHeight="1">
      <c r="A7" s="99"/>
      <c r="B7" s="104" t="s">
        <v>36</v>
      </c>
      <c r="C7" s="104"/>
      <c r="D7" s="337" t="s">
        <v>0</v>
      </c>
      <c r="E7" s="380">
        <v>45375687</v>
      </c>
      <c r="F7" s="381">
        <v>45375687</v>
      </c>
      <c r="G7" s="381">
        <v>45375687</v>
      </c>
      <c r="H7" s="381">
        <f>45375687+1566928</f>
        <v>46942615</v>
      </c>
      <c r="I7" s="381">
        <f>45375687+1566928</f>
        <v>46942615</v>
      </c>
      <c r="J7" s="285">
        <v>46942615</v>
      </c>
      <c r="K7" s="285">
        <v>35747543</v>
      </c>
      <c r="L7" s="1080">
        <f aca="true" t="shared" si="3" ref="L7:L39">+K7/J7</f>
        <v>0.7615157996630567</v>
      </c>
      <c r="M7" s="347">
        <f aca="true" t="shared" si="4" ref="M7:S8">E7</f>
        <v>45375687</v>
      </c>
      <c r="N7" s="347">
        <f t="shared" si="4"/>
        <v>45375687</v>
      </c>
      <c r="O7" s="347">
        <f t="shared" si="4"/>
        <v>45375687</v>
      </c>
      <c r="P7" s="347">
        <f t="shared" si="4"/>
        <v>46942615</v>
      </c>
      <c r="Q7" s="347">
        <f t="shared" si="4"/>
        <v>46942615</v>
      </c>
      <c r="R7" s="347">
        <f t="shared" si="4"/>
        <v>46942615</v>
      </c>
      <c r="S7" s="347">
        <f t="shared" si="4"/>
        <v>35747543</v>
      </c>
      <c r="T7" s="1080">
        <f aca="true" t="shared" si="5" ref="T7:T39">+S7/R7</f>
        <v>0.7615157996630567</v>
      </c>
      <c r="U7" s="347">
        <v>0</v>
      </c>
      <c r="V7" s="347">
        <v>0</v>
      </c>
      <c r="W7" s="347">
        <v>0</v>
      </c>
      <c r="X7" s="347">
        <v>0</v>
      </c>
      <c r="Y7" s="347">
        <v>0</v>
      </c>
      <c r="Z7" s="347">
        <v>0</v>
      </c>
      <c r="AA7" s="347">
        <v>0</v>
      </c>
      <c r="AB7" s="1080"/>
      <c r="AC7" s="347">
        <v>0</v>
      </c>
      <c r="AE7" s="900"/>
    </row>
    <row r="8" spans="1:31" s="5" customFormat="1" ht="22.5" customHeight="1">
      <c r="A8" s="82"/>
      <c r="B8" s="91" t="s">
        <v>37</v>
      </c>
      <c r="C8" s="91"/>
      <c r="D8" s="338" t="s">
        <v>79</v>
      </c>
      <c r="E8" s="380">
        <v>10132050</v>
      </c>
      <c r="F8" s="381">
        <v>10132050</v>
      </c>
      <c r="G8" s="381">
        <v>10132050</v>
      </c>
      <c r="H8" s="381">
        <f>10132050+423072</f>
        <v>10555122</v>
      </c>
      <c r="I8" s="381">
        <f>10132050+423072</f>
        <v>10555122</v>
      </c>
      <c r="J8" s="381">
        <v>10577215</v>
      </c>
      <c r="K8" s="381">
        <v>7264345</v>
      </c>
      <c r="L8" s="1081">
        <f t="shared" si="3"/>
        <v>0.6867918445450906</v>
      </c>
      <c r="M8" s="347">
        <f t="shared" si="4"/>
        <v>10132050</v>
      </c>
      <c r="N8" s="347">
        <f t="shared" si="4"/>
        <v>10132050</v>
      </c>
      <c r="O8" s="347">
        <f t="shared" si="4"/>
        <v>10132050</v>
      </c>
      <c r="P8" s="347">
        <f t="shared" si="4"/>
        <v>10555122</v>
      </c>
      <c r="Q8" s="347">
        <f t="shared" si="4"/>
        <v>10555122</v>
      </c>
      <c r="R8" s="347">
        <f t="shared" si="4"/>
        <v>10577215</v>
      </c>
      <c r="S8" s="347">
        <f t="shared" si="4"/>
        <v>7264345</v>
      </c>
      <c r="T8" s="1081">
        <f t="shared" si="5"/>
        <v>0.6867918445450906</v>
      </c>
      <c r="U8" s="380">
        <v>0</v>
      </c>
      <c r="V8" s="380">
        <v>0</v>
      </c>
      <c r="W8" s="380">
        <v>0</v>
      </c>
      <c r="X8" s="380">
        <v>0</v>
      </c>
      <c r="Y8" s="380">
        <v>0</v>
      </c>
      <c r="Z8" s="380">
        <v>0</v>
      </c>
      <c r="AA8" s="380">
        <v>0</v>
      </c>
      <c r="AB8" s="1081"/>
      <c r="AC8" s="380">
        <v>0</v>
      </c>
      <c r="AE8" s="900"/>
    </row>
    <row r="9" spans="1:31" s="5" customFormat="1" ht="22.5" customHeight="1">
      <c r="A9" s="82"/>
      <c r="B9" s="91" t="s">
        <v>38</v>
      </c>
      <c r="C9" s="91"/>
      <c r="D9" s="338" t="s">
        <v>80</v>
      </c>
      <c r="E9" s="380">
        <v>55251474</v>
      </c>
      <c r="F9" s="381">
        <f>55251474+2*49000+59000</f>
        <v>55408474</v>
      </c>
      <c r="G9" s="381">
        <f>55251474+2*49000+59000+3986843-19134</f>
        <v>59376183</v>
      </c>
      <c r="H9" s="381">
        <f>55251474+2*49000+59000+3986843-19134+6349300</f>
        <v>65725483</v>
      </c>
      <c r="I9" s="381">
        <f>55251474+2*49000+59000+3986843-19134+6349300+3263295</f>
        <v>68988778</v>
      </c>
      <c r="J9" s="381">
        <v>143188859</v>
      </c>
      <c r="K9" s="381">
        <v>40485764</v>
      </c>
      <c r="L9" s="1081">
        <f t="shared" si="3"/>
        <v>0.282743813190103</v>
      </c>
      <c r="M9" s="380">
        <f>'7.sz.m.Dologi kiadás (3)'!L29</f>
        <v>53384779</v>
      </c>
      <c r="N9" s="380">
        <f>'7.sz.m.Dologi kiadás (3)'!M29</f>
        <v>53541779</v>
      </c>
      <c r="O9" s="380">
        <f>'7.sz.m.Dologi kiadás (3)'!N29</f>
        <v>57509488</v>
      </c>
      <c r="P9" s="380">
        <f>'7.sz.m.Dologi kiadás (3)'!O29</f>
        <v>63858788</v>
      </c>
      <c r="Q9" s="380">
        <f>'7.sz.m.Dologi kiadás (3)'!P29</f>
        <v>67122083</v>
      </c>
      <c r="R9" s="380">
        <f>'7.sz.m.Dologi kiadás (3)'!Q29</f>
        <v>141274735</v>
      </c>
      <c r="S9" s="380">
        <f>'7.sz.m.Dologi kiadás (3)'!R29</f>
        <v>39074529</v>
      </c>
      <c r="T9" s="1081">
        <f t="shared" si="5"/>
        <v>0.27658539936387067</v>
      </c>
      <c r="U9" s="380">
        <f>'7.sz.m.Dologi kiadás (3)'!T29</f>
        <v>1866695</v>
      </c>
      <c r="V9" s="380">
        <f>'7.sz.m.Dologi kiadás (3)'!U29</f>
        <v>1866695</v>
      </c>
      <c r="W9" s="380">
        <f>'7.sz.m.Dologi kiadás (3)'!V29</f>
        <v>1866695</v>
      </c>
      <c r="X9" s="380">
        <f>'7.sz.m.Dologi kiadás (3)'!W29</f>
        <v>1866695</v>
      </c>
      <c r="Y9" s="380">
        <f>'7.sz.m.Dologi kiadás (3)'!X29</f>
        <v>1866695</v>
      </c>
      <c r="Z9" s="380">
        <f>'7.sz.m.Dologi kiadás (3)'!Y29</f>
        <v>1914124</v>
      </c>
      <c r="AA9" s="380">
        <f>'7.sz.m.Dologi kiadás (3)'!Z29</f>
        <v>1411235</v>
      </c>
      <c r="AB9" s="1081">
        <f>+AA9/Z9</f>
        <v>0.7372745966301034</v>
      </c>
      <c r="AC9" s="380">
        <f>'7.sz.m.Dologi kiadás (3)'!AB29</f>
        <v>0</v>
      </c>
      <c r="AE9" s="900"/>
    </row>
    <row r="10" spans="1:31" s="5" customFormat="1" ht="22.5" customHeight="1">
      <c r="A10" s="82"/>
      <c r="B10" s="91" t="s">
        <v>49</v>
      </c>
      <c r="C10" s="91"/>
      <c r="D10" s="338" t="s">
        <v>81</v>
      </c>
      <c r="E10" s="342">
        <v>3025952</v>
      </c>
      <c r="F10" s="1093">
        <v>3025952</v>
      </c>
      <c r="G10" s="1093">
        <v>3025952</v>
      </c>
      <c r="H10" s="1093">
        <v>3025952</v>
      </c>
      <c r="I10" s="1093">
        <f>211000+3025952</f>
        <v>3236952</v>
      </c>
      <c r="J10" s="1093">
        <v>2642000</v>
      </c>
      <c r="K10" s="1093">
        <v>1808438</v>
      </c>
      <c r="L10" s="1082">
        <f t="shared" si="3"/>
        <v>0.6844958364875094</v>
      </c>
      <c r="M10" s="342">
        <f>'8.sz.m.szociális kiadások (2)'!C16+'8.sz.m.szociális kiadások (2)'!C18</f>
        <v>245952</v>
      </c>
      <c r="N10" s="342">
        <f>'8.sz.m.szociális kiadások (2)'!D16+'8.sz.m.szociális kiadások (2)'!D18</f>
        <v>245952</v>
      </c>
      <c r="O10" s="342">
        <f>'8.sz.m.szociális kiadások (2)'!E16+'8.sz.m.szociális kiadások (2)'!E18</f>
        <v>245952</v>
      </c>
      <c r="P10" s="342">
        <f>'8.sz.m.szociális kiadások (2)'!F16+'8.sz.m.szociális kiadások (2)'!F18</f>
        <v>245952</v>
      </c>
      <c r="Q10" s="342">
        <f>'8.sz.m.szociális kiadások (2)'!G16+'8.sz.m.szociális kiadások (2)'!G18</f>
        <v>245952</v>
      </c>
      <c r="R10" s="342">
        <f>+'8.sz.m.szociális kiadások (2)'!H21+'8.sz.m.szociális kiadások (2)'!H36</f>
        <v>2642000</v>
      </c>
      <c r="S10" s="342">
        <f>+'8.sz.m.szociális kiadások (2)'!I21+'8.sz.m.szociális kiadások (2)'!I36</f>
        <v>1808438</v>
      </c>
      <c r="T10" s="1082">
        <f t="shared" si="5"/>
        <v>0.6844958364875094</v>
      </c>
      <c r="U10" s="342">
        <f>SUM('8.sz.m.szociális kiadások (2)'!C10:C15)</f>
        <v>2780000</v>
      </c>
      <c r="V10" s="342">
        <f>SUM('8.sz.m.szociális kiadások (2)'!D10:D15)</f>
        <v>2780000</v>
      </c>
      <c r="W10" s="342">
        <f>SUM('8.sz.m.szociális kiadások (2)'!E10:E15)</f>
        <v>2780000</v>
      </c>
      <c r="X10" s="342">
        <f>SUM('8.sz.m.szociális kiadások (2)'!F10:F15)</f>
        <v>2780000</v>
      </c>
      <c r="Y10" s="342">
        <f>SUM('8.sz.m.szociális kiadások (2)'!G10:G15)</f>
        <v>2780000</v>
      </c>
      <c r="Z10" s="342"/>
      <c r="AA10" s="342"/>
      <c r="AB10" s="1082"/>
      <c r="AC10" s="342">
        <f>SUM('8.sz.m.szociális kiadások (2)'!K10:K15)</f>
        <v>0</v>
      </c>
      <c r="AE10" s="900"/>
    </row>
    <row r="11" spans="1:31" s="5" customFormat="1" ht="22.5" customHeight="1">
      <c r="A11" s="82"/>
      <c r="B11" s="91" t="s">
        <v>50</v>
      </c>
      <c r="C11" s="91"/>
      <c r="D11" s="339" t="s">
        <v>83</v>
      </c>
      <c r="E11" s="380">
        <f aca="true" t="shared" si="6" ref="E11:J11">SUM(E12:E16)</f>
        <v>131028545</v>
      </c>
      <c r="F11" s="381">
        <f t="shared" si="6"/>
        <v>133095907</v>
      </c>
      <c r="G11" s="381">
        <f t="shared" si="6"/>
        <v>132940647</v>
      </c>
      <c r="H11" s="381">
        <f t="shared" si="6"/>
        <v>132940647</v>
      </c>
      <c r="I11" s="381">
        <f t="shared" si="6"/>
        <v>136767004</v>
      </c>
      <c r="J11" s="381">
        <f t="shared" si="6"/>
        <v>152734208</v>
      </c>
      <c r="K11" s="381">
        <f>SUM(K12:K16)</f>
        <v>149710908</v>
      </c>
      <c r="L11" s="1081">
        <f t="shared" si="3"/>
        <v>0.980205482192961</v>
      </c>
      <c r="M11" s="380">
        <f aca="true" t="shared" si="7" ref="M11:S11">E11-U11</f>
        <v>117729758</v>
      </c>
      <c r="N11" s="380">
        <f t="shared" si="7"/>
        <v>117806619</v>
      </c>
      <c r="O11" s="380">
        <f t="shared" si="7"/>
        <v>117806618</v>
      </c>
      <c r="P11" s="380">
        <f t="shared" si="7"/>
        <v>117806617</v>
      </c>
      <c r="Q11" s="380">
        <f t="shared" si="7"/>
        <v>123432973</v>
      </c>
      <c r="R11" s="380">
        <f t="shared" si="7"/>
        <v>139367701</v>
      </c>
      <c r="S11" s="380">
        <f t="shared" si="7"/>
        <v>139307701</v>
      </c>
      <c r="T11" s="1081">
        <f t="shared" si="5"/>
        <v>0.9995694841805562</v>
      </c>
      <c r="U11" s="380">
        <f>SUM(U12:U16)</f>
        <v>13298787</v>
      </c>
      <c r="V11" s="380">
        <f aca="true" t="shared" si="8" ref="V11:AC11">SUM(V12:V16)</f>
        <v>15289288</v>
      </c>
      <c r="W11" s="380">
        <f t="shared" si="8"/>
        <v>15134029</v>
      </c>
      <c r="X11" s="380">
        <f t="shared" si="8"/>
        <v>15134030</v>
      </c>
      <c r="Y11" s="380">
        <f t="shared" si="8"/>
        <v>13334031</v>
      </c>
      <c r="Z11" s="380">
        <f t="shared" si="8"/>
        <v>13366507</v>
      </c>
      <c r="AA11" s="380">
        <f>SUM(AA12:AA16)</f>
        <v>10403207</v>
      </c>
      <c r="AB11" s="1081">
        <f>+AA11/Z11</f>
        <v>0.7783040849789702</v>
      </c>
      <c r="AC11" s="380">
        <f t="shared" si="8"/>
        <v>8.600383961680983</v>
      </c>
      <c r="AE11" s="900"/>
    </row>
    <row r="12" spans="1:31" s="5" customFormat="1" ht="22.5" customHeight="1">
      <c r="A12" s="82"/>
      <c r="B12" s="114"/>
      <c r="C12" s="91" t="s">
        <v>82</v>
      </c>
      <c r="D12" s="340" t="s">
        <v>276</v>
      </c>
      <c r="E12" s="342">
        <v>215403</v>
      </c>
      <c r="F12" s="1093">
        <f>215403+76862</f>
        <v>292265</v>
      </c>
      <c r="G12" s="1093">
        <f>215403+76862</f>
        <v>292265</v>
      </c>
      <c r="H12" s="1093">
        <f>215403+76862</f>
        <v>292265</v>
      </c>
      <c r="I12" s="1093">
        <f>215403+76862</f>
        <v>292265</v>
      </c>
      <c r="J12" s="1093">
        <v>292265</v>
      </c>
      <c r="K12" s="1093">
        <v>292265</v>
      </c>
      <c r="L12" s="1082">
        <f t="shared" si="3"/>
        <v>1</v>
      </c>
      <c r="M12" s="347">
        <f aca="true" t="shared" si="9" ref="M12:S12">E12</f>
        <v>215403</v>
      </c>
      <c r="N12" s="347">
        <f t="shared" si="9"/>
        <v>292265</v>
      </c>
      <c r="O12" s="347">
        <f t="shared" si="9"/>
        <v>292265</v>
      </c>
      <c r="P12" s="347">
        <f t="shared" si="9"/>
        <v>292265</v>
      </c>
      <c r="Q12" s="347">
        <f t="shared" si="9"/>
        <v>292265</v>
      </c>
      <c r="R12" s="347">
        <f t="shared" si="9"/>
        <v>292265</v>
      </c>
      <c r="S12" s="347">
        <f t="shared" si="9"/>
        <v>292265</v>
      </c>
      <c r="T12" s="1082">
        <f t="shared" si="5"/>
        <v>1</v>
      </c>
      <c r="U12" s="342">
        <v>0</v>
      </c>
      <c r="V12" s="342">
        <v>1</v>
      </c>
      <c r="W12" s="342">
        <v>2</v>
      </c>
      <c r="X12" s="342">
        <v>3</v>
      </c>
      <c r="Y12" s="342">
        <v>4</v>
      </c>
      <c r="Z12" s="342">
        <v>0</v>
      </c>
      <c r="AA12" s="342"/>
      <c r="AB12" s="1082"/>
      <c r="AC12" s="342">
        <v>7</v>
      </c>
      <c r="AE12" s="900"/>
    </row>
    <row r="13" spans="1:31" s="5" customFormat="1" ht="31.5" customHeight="1">
      <c r="A13" s="82"/>
      <c r="B13" s="91"/>
      <c r="C13" s="91" t="s">
        <v>84</v>
      </c>
      <c r="D13" s="338" t="s">
        <v>277</v>
      </c>
      <c r="E13" s="342">
        <v>11431025</v>
      </c>
      <c r="F13" s="1093">
        <f>11431025+1800000+190500</f>
        <v>13421525</v>
      </c>
      <c r="G13" s="1093">
        <f>11431025+1800000+190500+53640-56000+100000-198000</f>
        <v>13321165</v>
      </c>
      <c r="H13" s="1093">
        <f>11431025+1800000+190500+53640-56000+100000-198000</f>
        <v>13321165</v>
      </c>
      <c r="I13" s="1093">
        <f>11431025+1800000+190500+53640-56000+100000-198000-1800000</f>
        <v>11521165</v>
      </c>
      <c r="J13" s="1093">
        <v>11553645</v>
      </c>
      <c r="K13" s="1093">
        <v>8898120</v>
      </c>
      <c r="L13" s="1082">
        <f t="shared" si="3"/>
        <v>0.770156950468878</v>
      </c>
      <c r="M13" s="342">
        <f>'9.sz.m.átadott pe (3)'!B60</f>
        <v>0</v>
      </c>
      <c r="N13" s="342">
        <f>'9.sz.m.átadott pe (3)'!C60</f>
        <v>0</v>
      </c>
      <c r="O13" s="342">
        <f>'9.sz.m.átadott pe (3)'!D60</f>
        <v>0</v>
      </c>
      <c r="P13" s="342">
        <f>'9.sz.m.átadott pe (3)'!E60</f>
        <v>0</v>
      </c>
      <c r="Q13" s="342">
        <f>'9.sz.m.átadott pe (3)'!F60</f>
        <v>0</v>
      </c>
      <c r="R13" s="342">
        <f>'9.sz.m.átadott pe (3)'!G60</f>
        <v>0</v>
      </c>
      <c r="S13" s="342">
        <f>'9.sz.m.átadott pe (3)'!H60</f>
        <v>0</v>
      </c>
      <c r="T13" s="1082"/>
      <c r="U13" s="342">
        <f>'9.sz.m.átadott pe (3)'!J60</f>
        <v>11431025</v>
      </c>
      <c r="V13" s="342">
        <f>'9.sz.m.átadott pe (3)'!K60</f>
        <v>13421525</v>
      </c>
      <c r="W13" s="342">
        <f>'9.sz.m.átadott pe (3)'!L60</f>
        <v>13321165</v>
      </c>
      <c r="X13" s="342">
        <f>'9.sz.m.átadott pe (3)'!M60</f>
        <v>13321165</v>
      </c>
      <c r="Y13" s="342">
        <f>'9.sz.m.átadott pe (3)'!N60</f>
        <v>11521165</v>
      </c>
      <c r="Z13" s="342">
        <f>'9.sz.m.átadott pe (3)'!O60</f>
        <v>11553645</v>
      </c>
      <c r="AA13" s="342">
        <f>'9.sz.m.átadott pe (3)'!P60</f>
        <v>8898120</v>
      </c>
      <c r="AB13" s="1082">
        <f>+AA13/Z13</f>
        <v>0.770156950468878</v>
      </c>
      <c r="AC13" s="342">
        <f>'9.sz.m.átadott pe (3)'!Q60</f>
        <v>0.770156950468878</v>
      </c>
      <c r="AE13" s="900"/>
    </row>
    <row r="14" spans="1:31" s="5" customFormat="1" ht="36.75" customHeight="1" thickBot="1">
      <c r="A14" s="110"/>
      <c r="B14" s="111"/>
      <c r="C14" s="91" t="s">
        <v>85</v>
      </c>
      <c r="D14" s="338" t="s">
        <v>278</v>
      </c>
      <c r="E14" s="342">
        <v>119382117</v>
      </c>
      <c r="F14" s="1093">
        <v>119382117</v>
      </c>
      <c r="G14" s="1093">
        <f>119382117-54900</f>
        <v>119327217</v>
      </c>
      <c r="H14" s="1093">
        <f>119382117-54900</f>
        <v>119327217</v>
      </c>
      <c r="I14" s="1093">
        <f>119382117-54900+4427160+1199197</f>
        <v>124953574</v>
      </c>
      <c r="J14" s="1093">
        <v>140888298</v>
      </c>
      <c r="K14" s="1093">
        <v>140520523</v>
      </c>
      <c r="L14" s="1082">
        <f t="shared" si="3"/>
        <v>0.9973895986734115</v>
      </c>
      <c r="M14" s="342">
        <f>'9.sz.m.átadott pe (3)'!B89</f>
        <v>117514355</v>
      </c>
      <c r="N14" s="342">
        <f>'9.sz.m.átadott pe (3)'!C89</f>
        <v>117514355</v>
      </c>
      <c r="O14" s="342">
        <f>'9.sz.m.átadott pe (3)'!D89</f>
        <v>117514355</v>
      </c>
      <c r="P14" s="342">
        <f>'9.sz.m.átadott pe (3)'!E89</f>
        <v>117514355</v>
      </c>
      <c r="Q14" s="342">
        <f>'9.sz.m.átadott pe (3)'!F89</f>
        <v>123140712</v>
      </c>
      <c r="R14" s="342">
        <f>'9.sz.m.átadott pe (3)'!G89</f>
        <v>139075436</v>
      </c>
      <c r="S14" s="342">
        <f>'9.sz.m.átadott pe (3)'!H89</f>
        <v>139015436</v>
      </c>
      <c r="T14" s="1082">
        <f t="shared" si="5"/>
        <v>0.9995685794578418</v>
      </c>
      <c r="U14" s="342">
        <f>'9.sz.m.átadott pe (3)'!J89</f>
        <v>1867762</v>
      </c>
      <c r="V14" s="342">
        <f>'9.sz.m.átadott pe (3)'!K89</f>
        <v>1867762</v>
      </c>
      <c r="W14" s="342">
        <f>'9.sz.m.átadott pe (3)'!L89</f>
        <v>1812862</v>
      </c>
      <c r="X14" s="342">
        <f>'9.sz.m.átadott pe (3)'!M89</f>
        <v>1812862</v>
      </c>
      <c r="Y14" s="342">
        <f>'9.sz.m.átadott pe (3)'!N89</f>
        <v>1812862</v>
      </c>
      <c r="Z14" s="342">
        <f>'9.sz.m.átadott pe (3)'!O89</f>
        <v>1812862</v>
      </c>
      <c r="AA14" s="342">
        <f>'9.sz.m.átadott pe (3)'!P89</f>
        <v>1505087</v>
      </c>
      <c r="AB14" s="1082">
        <f>+AA14/Z14</f>
        <v>0.8302270112121055</v>
      </c>
      <c r="AC14" s="342">
        <f>'9.sz.m.átadott pe (3)'!Q89</f>
        <v>0.8302270112121055</v>
      </c>
      <c r="AE14" s="900"/>
    </row>
    <row r="15" spans="1:31" s="5" customFormat="1" ht="22.5" customHeight="1" hidden="1">
      <c r="A15" s="82"/>
      <c r="B15" s="91"/>
      <c r="C15" s="91" t="s">
        <v>88</v>
      </c>
      <c r="D15" s="338" t="s">
        <v>90</v>
      </c>
      <c r="E15" s="380"/>
      <c r="F15" s="381"/>
      <c r="G15" s="381"/>
      <c r="H15" s="381"/>
      <c r="I15" s="381"/>
      <c r="J15" s="381"/>
      <c r="K15" s="381"/>
      <c r="L15" s="1081" t="e">
        <f t="shared" si="3"/>
        <v>#DIV/0!</v>
      </c>
      <c r="M15" s="380"/>
      <c r="N15" s="380"/>
      <c r="O15" s="380"/>
      <c r="P15" s="380"/>
      <c r="Q15" s="380"/>
      <c r="R15" s="380"/>
      <c r="S15" s="380"/>
      <c r="T15" s="1081" t="e">
        <f t="shared" si="5"/>
        <v>#DIV/0!</v>
      </c>
      <c r="U15" s="380"/>
      <c r="V15" s="380"/>
      <c r="W15" s="380"/>
      <c r="X15" s="380"/>
      <c r="Y15" s="380"/>
      <c r="Z15" s="380"/>
      <c r="AA15" s="380"/>
      <c r="AB15" s="1081" t="e">
        <f>+AA15/Z15</f>
        <v>#DIV/0!</v>
      </c>
      <c r="AC15" s="380"/>
      <c r="AE15" s="900"/>
    </row>
    <row r="16" spans="1:31" s="5" customFormat="1" ht="22.5" customHeight="1" hidden="1" thickBot="1">
      <c r="A16" s="118"/>
      <c r="B16" s="105"/>
      <c r="C16" s="105" t="s">
        <v>89</v>
      </c>
      <c r="D16" s="341" t="s">
        <v>91</v>
      </c>
      <c r="E16" s="352"/>
      <c r="F16" s="121"/>
      <c r="G16" s="121"/>
      <c r="H16" s="121"/>
      <c r="I16" s="121"/>
      <c r="J16" s="121"/>
      <c r="K16" s="121"/>
      <c r="L16" s="1083" t="e">
        <f t="shared" si="3"/>
        <v>#DIV/0!</v>
      </c>
      <c r="M16" s="352"/>
      <c r="N16" s="352"/>
      <c r="O16" s="352"/>
      <c r="P16" s="352"/>
      <c r="Q16" s="352"/>
      <c r="R16" s="352"/>
      <c r="S16" s="352"/>
      <c r="T16" s="1083" t="e">
        <f t="shared" si="5"/>
        <v>#DIV/0!</v>
      </c>
      <c r="U16" s="352"/>
      <c r="V16" s="352"/>
      <c r="W16" s="352"/>
      <c r="X16" s="352"/>
      <c r="Y16" s="352"/>
      <c r="Z16" s="352"/>
      <c r="AA16" s="352"/>
      <c r="AB16" s="1083" t="e">
        <f>+AA16/Z16</f>
        <v>#DIV/0!</v>
      </c>
      <c r="AC16" s="352"/>
      <c r="AE16" s="900"/>
    </row>
    <row r="17" spans="1:29" s="5" customFormat="1" ht="22.5" customHeight="1" thickBot="1">
      <c r="A17" s="100" t="s">
        <v>28</v>
      </c>
      <c r="B17" s="1487" t="s">
        <v>92</v>
      </c>
      <c r="C17" s="1487"/>
      <c r="D17" s="1487"/>
      <c r="E17" s="348">
        <f aca="true" t="shared" si="10" ref="E17:J17">SUM(E18:E20)</f>
        <v>108911042</v>
      </c>
      <c r="F17" s="64">
        <f t="shared" si="10"/>
        <v>109403802</v>
      </c>
      <c r="G17" s="64">
        <f t="shared" si="10"/>
        <v>131384431</v>
      </c>
      <c r="H17" s="64">
        <f t="shared" si="10"/>
        <v>291575123</v>
      </c>
      <c r="I17" s="64">
        <f t="shared" si="10"/>
        <v>300477793</v>
      </c>
      <c r="J17" s="64">
        <f t="shared" si="10"/>
        <v>309697074</v>
      </c>
      <c r="K17" s="64">
        <f>SUM(K18:K20)</f>
        <v>103645892</v>
      </c>
      <c r="L17" s="1084">
        <f t="shared" si="3"/>
        <v>0.33466861879360216</v>
      </c>
      <c r="M17" s="348">
        <f aca="true" t="shared" si="11" ref="M17:S17">SUM(M18:M20)</f>
        <v>105911042</v>
      </c>
      <c r="N17" s="348">
        <f t="shared" si="11"/>
        <v>106403802</v>
      </c>
      <c r="O17" s="348">
        <f t="shared" si="11"/>
        <v>128384431</v>
      </c>
      <c r="P17" s="348">
        <f t="shared" si="11"/>
        <v>288575123</v>
      </c>
      <c r="Q17" s="348">
        <f t="shared" si="11"/>
        <v>295607793</v>
      </c>
      <c r="R17" s="348">
        <f t="shared" si="11"/>
        <v>304827074</v>
      </c>
      <c r="S17" s="348">
        <f t="shared" si="11"/>
        <v>98825892</v>
      </c>
      <c r="T17" s="1084">
        <f t="shared" si="5"/>
        <v>0.324203131641778</v>
      </c>
      <c r="U17" s="348">
        <f>SUM(U18:U20)</f>
        <v>3000000</v>
      </c>
      <c r="V17" s="348">
        <f aca="true" t="shared" si="12" ref="V17:AC17">SUM(V18:V20)</f>
        <v>3000000</v>
      </c>
      <c r="W17" s="348">
        <f t="shared" si="12"/>
        <v>3000000</v>
      </c>
      <c r="X17" s="348">
        <f t="shared" si="12"/>
        <v>3000000</v>
      </c>
      <c r="Y17" s="348">
        <f t="shared" si="12"/>
        <v>4870000</v>
      </c>
      <c r="Z17" s="348">
        <f t="shared" si="12"/>
        <v>4870000</v>
      </c>
      <c r="AA17" s="348">
        <f>SUM(AA18:AA20)</f>
        <v>4820000</v>
      </c>
      <c r="AB17" s="1084">
        <f>+AA17/Z17</f>
        <v>0.9897330595482546</v>
      </c>
      <c r="AC17" s="348">
        <f t="shared" si="12"/>
        <v>0</v>
      </c>
    </row>
    <row r="18" spans="1:29" s="5" customFormat="1" ht="22.5" customHeight="1">
      <c r="A18" s="99"/>
      <c r="B18" s="104" t="s">
        <v>39</v>
      </c>
      <c r="C18" s="1493" t="s">
        <v>93</v>
      </c>
      <c r="D18" s="1493"/>
      <c r="E18" s="347">
        <v>11276042</v>
      </c>
      <c r="F18" s="285">
        <f>11276042+347980+144780</f>
        <v>11768802</v>
      </c>
      <c r="G18" s="285">
        <f>11276042+347980+144780+428221+19134+198000</f>
        <v>12414157</v>
      </c>
      <c r="H18" s="285">
        <f>11276042+347980+144780+428221+19134+198000+85805522</f>
        <v>98219679</v>
      </c>
      <c r="I18" s="285">
        <f>11276042+347980+144780+428221+19134+198000+85805522+165470</f>
        <v>98385149</v>
      </c>
      <c r="J18" s="285">
        <v>98741149</v>
      </c>
      <c r="K18" s="285">
        <v>9923814</v>
      </c>
      <c r="L18" s="1080">
        <f t="shared" si="3"/>
        <v>0.10050332713871904</v>
      </c>
      <c r="M18" s="347">
        <f>'6.a.sz.m.fejlesztés (3)'!D23</f>
        <v>11276042</v>
      </c>
      <c r="N18" s="347">
        <f>'6.a.sz.m.fejlesztés (3)'!E23</f>
        <v>11768802</v>
      </c>
      <c r="O18" s="347">
        <f>'6.a.sz.m.fejlesztés (3)'!F23</f>
        <v>12414157</v>
      </c>
      <c r="P18" s="347">
        <f>'6.a.sz.m.fejlesztés (3)'!G23</f>
        <v>98219679</v>
      </c>
      <c r="Q18" s="347">
        <f>'6.a.sz.m.fejlesztés (3)'!H23</f>
        <v>98385149</v>
      </c>
      <c r="R18" s="347">
        <f>'6.a.sz.m.fejlesztés (3)'!I23</f>
        <v>98741149</v>
      </c>
      <c r="S18" s="347">
        <f>'6.a.sz.m.fejlesztés (3)'!J23</f>
        <v>9923814</v>
      </c>
      <c r="T18" s="1080">
        <f t="shared" si="5"/>
        <v>0.10050332713871904</v>
      </c>
      <c r="U18" s="347">
        <v>0</v>
      </c>
      <c r="V18" s="347">
        <v>0</v>
      </c>
      <c r="W18" s="347">
        <v>0</v>
      </c>
      <c r="X18" s="347">
        <v>0</v>
      </c>
      <c r="Y18" s="347">
        <v>0</v>
      </c>
      <c r="Z18" s="347">
        <v>0</v>
      </c>
      <c r="AA18" s="347">
        <v>0</v>
      </c>
      <c r="AB18" s="1080"/>
      <c r="AC18" s="347">
        <v>0</v>
      </c>
    </row>
    <row r="19" spans="1:29" s="5" customFormat="1" ht="22.5" customHeight="1">
      <c r="A19" s="82"/>
      <c r="B19" s="91" t="s">
        <v>40</v>
      </c>
      <c r="C19" s="1494" t="s">
        <v>94</v>
      </c>
      <c r="D19" s="1494"/>
      <c r="E19" s="342">
        <v>94635000</v>
      </c>
      <c r="F19" s="1093">
        <v>94635000</v>
      </c>
      <c r="G19" s="1093">
        <f>94635000+20835707+499567</f>
        <v>115970274</v>
      </c>
      <c r="H19" s="1093">
        <f>94635000+20835707+499567+74385170</f>
        <v>190355444</v>
      </c>
      <c r="I19" s="1093">
        <f>94635000+20835707+499567+74385170+6867200</f>
        <v>197222644</v>
      </c>
      <c r="J19" s="1093">
        <v>206085925</v>
      </c>
      <c r="K19" s="1093">
        <v>88902078</v>
      </c>
      <c r="L19" s="1082">
        <f t="shared" si="3"/>
        <v>0.43138355033222187</v>
      </c>
      <c r="M19" s="342">
        <f>'6.a.sz.m.fejlesztés (3)'!D43</f>
        <v>94635000</v>
      </c>
      <c r="N19" s="342">
        <f>'6.a.sz.m.fejlesztés (3)'!E43</f>
        <v>94635000</v>
      </c>
      <c r="O19" s="342">
        <f>'6.a.sz.m.fejlesztés (3)'!F43</f>
        <v>115970274</v>
      </c>
      <c r="P19" s="342">
        <f>'6.a.sz.m.fejlesztés (3)'!G43</f>
        <v>190355444</v>
      </c>
      <c r="Q19" s="342">
        <f>'6.a.sz.m.fejlesztés (3)'!H43</f>
        <v>197222644</v>
      </c>
      <c r="R19" s="342">
        <f>'6.a.sz.m.fejlesztés (3)'!I43</f>
        <v>206085925</v>
      </c>
      <c r="S19" s="342">
        <f>'6.a.sz.m.fejlesztés (3)'!J43</f>
        <v>88902078</v>
      </c>
      <c r="T19" s="1082">
        <f t="shared" si="5"/>
        <v>0.43138355033222187</v>
      </c>
      <c r="U19" s="342">
        <v>0</v>
      </c>
      <c r="V19" s="342">
        <v>0</v>
      </c>
      <c r="W19" s="342">
        <v>0</v>
      </c>
      <c r="X19" s="342">
        <v>0</v>
      </c>
      <c r="Y19" s="342">
        <v>0</v>
      </c>
      <c r="Z19" s="342">
        <v>0</v>
      </c>
      <c r="AA19" s="342">
        <v>0</v>
      </c>
      <c r="AB19" s="1082"/>
      <c r="AC19" s="342">
        <v>0</v>
      </c>
    </row>
    <row r="20" spans="1:29" s="5" customFormat="1" ht="22.5" customHeight="1">
      <c r="A20" s="112"/>
      <c r="B20" s="91" t="s">
        <v>41</v>
      </c>
      <c r="C20" s="1484" t="s">
        <v>95</v>
      </c>
      <c r="D20" s="1484"/>
      <c r="E20" s="380">
        <f aca="true" t="shared" si="13" ref="E20:M20">SUM(E21:E24)</f>
        <v>3000000</v>
      </c>
      <c r="F20" s="381">
        <f t="shared" si="13"/>
        <v>3000000</v>
      </c>
      <c r="G20" s="381">
        <f t="shared" si="13"/>
        <v>3000000</v>
      </c>
      <c r="H20" s="381">
        <f t="shared" si="13"/>
        <v>3000000</v>
      </c>
      <c r="I20" s="381">
        <f t="shared" si="13"/>
        <v>4870000</v>
      </c>
      <c r="J20" s="381">
        <f t="shared" si="13"/>
        <v>4870000</v>
      </c>
      <c r="K20" s="381">
        <f>SUM(K21:K24)</f>
        <v>4820000</v>
      </c>
      <c r="L20" s="1081">
        <f t="shared" si="3"/>
        <v>0.9897330595482546</v>
      </c>
      <c r="M20" s="380">
        <f t="shared" si="13"/>
        <v>0</v>
      </c>
      <c r="N20" s="380">
        <f aca="true" t="shared" si="14" ref="N20:S20">SUM(N21:N24)</f>
        <v>0</v>
      </c>
      <c r="O20" s="380">
        <f t="shared" si="14"/>
        <v>0</v>
      </c>
      <c r="P20" s="380">
        <f t="shared" si="14"/>
        <v>0</v>
      </c>
      <c r="Q20" s="380">
        <f t="shared" si="14"/>
        <v>0</v>
      </c>
      <c r="R20" s="380">
        <f t="shared" si="14"/>
        <v>0</v>
      </c>
      <c r="S20" s="380">
        <f t="shared" si="14"/>
        <v>0</v>
      </c>
      <c r="T20" s="1081"/>
      <c r="U20" s="380">
        <f>SUM(U21:U24)</f>
        <v>3000000</v>
      </c>
      <c r="V20" s="380">
        <f aca="true" t="shared" si="15" ref="V20:AC20">SUM(V21:V24)</f>
        <v>3000000</v>
      </c>
      <c r="W20" s="380">
        <f t="shared" si="15"/>
        <v>3000000</v>
      </c>
      <c r="X20" s="380">
        <f t="shared" si="15"/>
        <v>3000000</v>
      </c>
      <c r="Y20" s="380">
        <f t="shared" si="15"/>
        <v>4870000</v>
      </c>
      <c r="Z20" s="380">
        <f t="shared" si="15"/>
        <v>4870000</v>
      </c>
      <c r="AA20" s="380">
        <f>SUM(AA21:AA24)</f>
        <v>4820000</v>
      </c>
      <c r="AB20" s="1081">
        <f>+AA20/Z20</f>
        <v>0.9897330595482546</v>
      </c>
      <c r="AC20" s="380">
        <f t="shared" si="15"/>
        <v>0</v>
      </c>
    </row>
    <row r="21" spans="1:29" s="5" customFormat="1" ht="22.5" customHeight="1">
      <c r="A21" s="88"/>
      <c r="B21" s="92"/>
      <c r="C21" s="92" t="s">
        <v>96</v>
      </c>
      <c r="D21" s="242" t="s">
        <v>86</v>
      </c>
      <c r="E21" s="342">
        <v>3000000</v>
      </c>
      <c r="F21" s="1093">
        <v>3000000</v>
      </c>
      <c r="G21" s="1093">
        <v>3000000</v>
      </c>
      <c r="H21" s="1093">
        <v>3000000</v>
      </c>
      <c r="I21" s="1093">
        <f>1800000+70000+3000000</f>
        <v>4870000</v>
      </c>
      <c r="J21" s="1093">
        <v>4870000</v>
      </c>
      <c r="K21" s="1093">
        <v>4820000</v>
      </c>
      <c r="L21" s="1082">
        <f t="shared" si="3"/>
        <v>0.9897330595482546</v>
      </c>
      <c r="M21" s="380">
        <f aca="true" t="shared" si="16" ref="M21:S21">E21-U21</f>
        <v>0</v>
      </c>
      <c r="N21" s="380">
        <f t="shared" si="16"/>
        <v>0</v>
      </c>
      <c r="O21" s="380">
        <f t="shared" si="16"/>
        <v>0</v>
      </c>
      <c r="P21" s="380">
        <f t="shared" si="16"/>
        <v>0</v>
      </c>
      <c r="Q21" s="380">
        <f t="shared" si="16"/>
        <v>0</v>
      </c>
      <c r="R21" s="380">
        <f t="shared" si="16"/>
        <v>0</v>
      </c>
      <c r="S21" s="380">
        <f t="shared" si="16"/>
        <v>0</v>
      </c>
      <c r="T21" s="1082"/>
      <c r="U21" s="342">
        <f>'9.sz.m.átadott pe (3)'!W60</f>
        <v>3000000</v>
      </c>
      <c r="V21" s="342">
        <f>'9.sz.m.átadott pe (3)'!X60</f>
        <v>3000000</v>
      </c>
      <c r="W21" s="342">
        <f>'9.sz.m.átadott pe (3)'!Y60</f>
        <v>3000000</v>
      </c>
      <c r="X21" s="342">
        <f>'9.sz.m.átadott pe (3)'!Z60</f>
        <v>3000000</v>
      </c>
      <c r="Y21" s="342">
        <f>'9.sz.m.átadott pe (3)'!AA60</f>
        <v>4870000</v>
      </c>
      <c r="Z21" s="342">
        <f>'9.sz.m.átadott pe (3)'!AB60</f>
        <v>4870000</v>
      </c>
      <c r="AA21" s="342">
        <f>'9.sz.m.átadott pe (3)'!AC60</f>
        <v>4820000</v>
      </c>
      <c r="AB21" s="1082">
        <f>+AA21/Z21</f>
        <v>0.9897330595482546</v>
      </c>
      <c r="AC21" s="342">
        <f>'9.sz.m.átadott pe (3)'!AE60</f>
        <v>0</v>
      </c>
    </row>
    <row r="22" spans="1:29" s="5" customFormat="1" ht="22.5" customHeight="1">
      <c r="A22" s="88"/>
      <c r="B22" s="92"/>
      <c r="C22" s="92" t="s">
        <v>97</v>
      </c>
      <c r="D22" s="242" t="s">
        <v>87</v>
      </c>
      <c r="E22" s="342"/>
      <c r="F22" s="1093"/>
      <c r="G22" s="1093"/>
      <c r="H22" s="1093"/>
      <c r="I22" s="1093"/>
      <c r="J22" s="1093"/>
      <c r="K22" s="1093"/>
      <c r="L22" s="1082"/>
      <c r="M22" s="342">
        <v>0</v>
      </c>
      <c r="N22" s="342">
        <v>0</v>
      </c>
      <c r="O22" s="342">
        <v>0</v>
      </c>
      <c r="P22" s="342">
        <v>0</v>
      </c>
      <c r="Q22" s="342">
        <v>0</v>
      </c>
      <c r="R22" s="342">
        <v>0</v>
      </c>
      <c r="S22" s="342">
        <v>0</v>
      </c>
      <c r="T22" s="1082"/>
      <c r="U22" s="342">
        <v>0</v>
      </c>
      <c r="V22" s="342">
        <v>0</v>
      </c>
      <c r="W22" s="342">
        <v>0</v>
      </c>
      <c r="X22" s="342">
        <v>0</v>
      </c>
      <c r="Y22" s="342">
        <v>0</v>
      </c>
      <c r="Z22" s="342">
        <v>0</v>
      </c>
      <c r="AA22" s="342">
        <v>0</v>
      </c>
      <c r="AB22" s="1082"/>
      <c r="AC22" s="342">
        <v>0</v>
      </c>
    </row>
    <row r="23" spans="1:29" s="5" customFormat="1" ht="36.75" customHeight="1">
      <c r="A23" s="112"/>
      <c r="B23" s="242"/>
      <c r="C23" s="92" t="s">
        <v>98</v>
      </c>
      <c r="D23" s="242" t="s">
        <v>486</v>
      </c>
      <c r="E23" s="380"/>
      <c r="F23" s="381"/>
      <c r="G23" s="381"/>
      <c r="H23" s="381"/>
      <c r="I23" s="381"/>
      <c r="J23" s="381"/>
      <c r="K23" s="381"/>
      <c r="L23" s="1081"/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80">
        <v>0</v>
      </c>
      <c r="S23" s="380">
        <v>0</v>
      </c>
      <c r="T23" s="1081"/>
      <c r="U23" s="380">
        <v>0</v>
      </c>
      <c r="V23" s="380"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1081"/>
      <c r="AC23" s="380">
        <v>0</v>
      </c>
    </row>
    <row r="24" spans="1:29" s="5" customFormat="1" ht="22.5" customHeight="1" thickBot="1">
      <c r="A24" s="267"/>
      <c r="B24" s="268"/>
      <c r="C24" s="269" t="s">
        <v>208</v>
      </c>
      <c r="D24" s="268" t="s">
        <v>209</v>
      </c>
      <c r="E24" s="382">
        <v>0</v>
      </c>
      <c r="F24" s="1094">
        <v>0</v>
      </c>
      <c r="G24" s="1094">
        <v>0</v>
      </c>
      <c r="H24" s="1094">
        <v>0</v>
      </c>
      <c r="I24" s="1094">
        <v>0</v>
      </c>
      <c r="J24" s="1094">
        <v>0</v>
      </c>
      <c r="K24" s="1094">
        <v>0</v>
      </c>
      <c r="L24" s="1085"/>
      <c r="M24" s="382">
        <v>0</v>
      </c>
      <c r="N24" s="382">
        <v>0</v>
      </c>
      <c r="O24" s="382">
        <v>0</v>
      </c>
      <c r="P24" s="382">
        <v>0</v>
      </c>
      <c r="Q24" s="382">
        <v>0</v>
      </c>
      <c r="R24" s="382">
        <v>0</v>
      </c>
      <c r="S24" s="382">
        <v>0</v>
      </c>
      <c r="T24" s="1085"/>
      <c r="U24" s="382">
        <v>0</v>
      </c>
      <c r="V24" s="382">
        <v>0</v>
      </c>
      <c r="W24" s="382">
        <v>0</v>
      </c>
      <c r="X24" s="382">
        <v>0</v>
      </c>
      <c r="Y24" s="382">
        <v>0</v>
      </c>
      <c r="Z24" s="382">
        <v>0</v>
      </c>
      <c r="AA24" s="382">
        <v>0</v>
      </c>
      <c r="AB24" s="1085"/>
      <c r="AC24" s="382">
        <v>0</v>
      </c>
    </row>
    <row r="25" spans="1:29" s="5" customFormat="1" ht="22.5" customHeight="1" thickBot="1">
      <c r="A25" s="100" t="s">
        <v>10</v>
      </c>
      <c r="B25" s="1487" t="s">
        <v>99</v>
      </c>
      <c r="C25" s="1487"/>
      <c r="D25" s="1487"/>
      <c r="E25" s="348">
        <f aca="true" t="shared" si="17" ref="E25:J25">SUM(E26:E28)</f>
        <v>77908803</v>
      </c>
      <c r="F25" s="64">
        <f t="shared" si="17"/>
        <v>75176682</v>
      </c>
      <c r="G25" s="64">
        <f t="shared" si="17"/>
        <v>54733454</v>
      </c>
      <c r="H25" s="64">
        <f t="shared" si="17"/>
        <v>63534084</v>
      </c>
      <c r="I25" s="64">
        <f t="shared" si="17"/>
        <v>57410165</v>
      </c>
      <c r="J25" s="64">
        <f t="shared" si="17"/>
        <v>0</v>
      </c>
      <c r="K25" s="64">
        <f>SUM(K26:K28)</f>
        <v>0</v>
      </c>
      <c r="L25" s="1084"/>
      <c r="M25" s="348">
        <f aca="true" t="shared" si="18" ref="M25:S25">SUM(M26:M28)</f>
        <v>77908803</v>
      </c>
      <c r="N25" s="348">
        <f t="shared" si="18"/>
        <v>75176682</v>
      </c>
      <c r="O25" s="348">
        <f t="shared" si="18"/>
        <v>54733454</v>
      </c>
      <c r="P25" s="348">
        <f t="shared" si="18"/>
        <v>63534084</v>
      </c>
      <c r="Q25" s="348">
        <f t="shared" si="18"/>
        <v>57410165</v>
      </c>
      <c r="R25" s="348">
        <f t="shared" si="18"/>
        <v>0</v>
      </c>
      <c r="S25" s="348">
        <f t="shared" si="18"/>
        <v>0</v>
      </c>
      <c r="T25" s="1084"/>
      <c r="U25" s="348">
        <f>SUM(U26:U28)</f>
        <v>0</v>
      </c>
      <c r="V25" s="348">
        <f aca="true" t="shared" si="19" ref="V25:AC25">SUM(V26:V28)</f>
        <v>0</v>
      </c>
      <c r="W25" s="348">
        <f t="shared" si="19"/>
        <v>0</v>
      </c>
      <c r="X25" s="348">
        <f t="shared" si="19"/>
        <v>0</v>
      </c>
      <c r="Y25" s="348">
        <f t="shared" si="19"/>
        <v>0</v>
      </c>
      <c r="Z25" s="348">
        <f t="shared" si="19"/>
        <v>0</v>
      </c>
      <c r="AA25" s="348">
        <f>SUM(AA26:AA28)</f>
        <v>0</v>
      </c>
      <c r="AB25" s="1084"/>
      <c r="AC25" s="348">
        <f t="shared" si="19"/>
        <v>0</v>
      </c>
    </row>
    <row r="26" spans="1:29" s="5" customFormat="1" ht="22.5" customHeight="1">
      <c r="A26" s="99"/>
      <c r="B26" s="104" t="s">
        <v>42</v>
      </c>
      <c r="C26" s="1493" t="s">
        <v>3</v>
      </c>
      <c r="D26" s="1493"/>
      <c r="E26" s="347">
        <f>77145471+763332</f>
        <v>77908803</v>
      </c>
      <c r="F26" s="285">
        <f>77145471+763332-1957000-14999-538480-76862-144780</f>
        <v>75176682</v>
      </c>
      <c r="G26" s="285">
        <f>77145471+763332-1957000-14999-538480-76862-144780-20143661-499567+200000</f>
        <v>54733454</v>
      </c>
      <c r="H26" s="285">
        <f>77145471+763332-1957000-14999-538480-76862-144780-20143661-499567+200000+8686148+114482</f>
        <v>63534084</v>
      </c>
      <c r="I26" s="285">
        <f>77145471+763332-1957000-14999-538480-76862-144780-20143661-499567+200000+8686148+114482+2895383-9019302</f>
        <v>57410165</v>
      </c>
      <c r="J26" s="285">
        <v>0</v>
      </c>
      <c r="K26" s="285">
        <v>0</v>
      </c>
      <c r="L26" s="1080"/>
      <c r="M26" s="347">
        <f aca="true" t="shared" si="20" ref="M26:S26">E26</f>
        <v>77908803</v>
      </c>
      <c r="N26" s="347">
        <f t="shared" si="20"/>
        <v>75176682</v>
      </c>
      <c r="O26" s="347">
        <f t="shared" si="20"/>
        <v>54733454</v>
      </c>
      <c r="P26" s="347">
        <f t="shared" si="20"/>
        <v>63534084</v>
      </c>
      <c r="Q26" s="347">
        <f t="shared" si="20"/>
        <v>57410165</v>
      </c>
      <c r="R26" s="347">
        <f t="shared" si="20"/>
        <v>0</v>
      </c>
      <c r="S26" s="347">
        <f t="shared" si="20"/>
        <v>0</v>
      </c>
      <c r="T26" s="1080"/>
      <c r="U26" s="347">
        <v>0</v>
      </c>
      <c r="V26" s="347">
        <v>0</v>
      </c>
      <c r="W26" s="347">
        <v>0</v>
      </c>
      <c r="X26" s="347">
        <v>0</v>
      </c>
      <c r="Y26" s="347">
        <v>0</v>
      </c>
      <c r="Z26" s="347">
        <v>0</v>
      </c>
      <c r="AA26" s="347">
        <v>0</v>
      </c>
      <c r="AB26" s="1080"/>
      <c r="AC26" s="347">
        <v>0</v>
      </c>
    </row>
    <row r="27" spans="1:29" s="8" customFormat="1" ht="22.5" customHeight="1">
      <c r="A27" s="113"/>
      <c r="B27" s="91" t="s">
        <v>43</v>
      </c>
      <c r="C27" s="1492" t="s">
        <v>279</v>
      </c>
      <c r="D27" s="1492"/>
      <c r="E27" s="342">
        <v>0</v>
      </c>
      <c r="F27" s="1093">
        <v>0</v>
      </c>
      <c r="G27" s="1093">
        <v>0</v>
      </c>
      <c r="H27" s="1093">
        <v>0</v>
      </c>
      <c r="I27" s="1093">
        <v>0</v>
      </c>
      <c r="J27" s="1093">
        <v>0</v>
      </c>
      <c r="K27" s="1093">
        <v>0</v>
      </c>
      <c r="L27" s="1082"/>
      <c r="M27" s="342">
        <v>0</v>
      </c>
      <c r="N27" s="342">
        <v>0</v>
      </c>
      <c r="O27" s="342">
        <v>0</v>
      </c>
      <c r="P27" s="342">
        <v>0</v>
      </c>
      <c r="Q27" s="342">
        <v>0</v>
      </c>
      <c r="R27" s="342">
        <v>0</v>
      </c>
      <c r="S27" s="342">
        <v>0</v>
      </c>
      <c r="T27" s="1082"/>
      <c r="U27" s="342">
        <v>0</v>
      </c>
      <c r="V27" s="342">
        <v>0</v>
      </c>
      <c r="W27" s="342">
        <v>0</v>
      </c>
      <c r="X27" s="342">
        <v>0</v>
      </c>
      <c r="Y27" s="342">
        <v>0</v>
      </c>
      <c r="Z27" s="342">
        <v>0</v>
      </c>
      <c r="AA27" s="342">
        <v>0</v>
      </c>
      <c r="AB27" s="1082"/>
      <c r="AC27" s="342">
        <v>0</v>
      </c>
    </row>
    <row r="28" spans="1:29" s="8" customFormat="1" ht="22.5" customHeight="1" thickBot="1">
      <c r="A28" s="119"/>
      <c r="B28" s="105" t="s">
        <v>67</v>
      </c>
      <c r="C28" s="120" t="s">
        <v>100</v>
      </c>
      <c r="D28" s="120"/>
      <c r="E28" s="360">
        <v>0</v>
      </c>
      <c r="F28" s="361">
        <v>0</v>
      </c>
      <c r="G28" s="361">
        <v>0</v>
      </c>
      <c r="H28" s="361">
        <v>0</v>
      </c>
      <c r="I28" s="361">
        <v>0</v>
      </c>
      <c r="J28" s="361">
        <v>0</v>
      </c>
      <c r="K28" s="361">
        <v>0</v>
      </c>
      <c r="L28" s="1086"/>
      <c r="M28" s="360">
        <v>0</v>
      </c>
      <c r="N28" s="360">
        <v>0</v>
      </c>
      <c r="O28" s="360">
        <v>0</v>
      </c>
      <c r="P28" s="360">
        <v>0</v>
      </c>
      <c r="Q28" s="360">
        <v>0</v>
      </c>
      <c r="R28" s="360">
        <v>0</v>
      </c>
      <c r="S28" s="360">
        <v>0</v>
      </c>
      <c r="T28" s="1086"/>
      <c r="U28" s="360">
        <v>0</v>
      </c>
      <c r="V28" s="360">
        <v>0</v>
      </c>
      <c r="W28" s="360">
        <v>0</v>
      </c>
      <c r="X28" s="360">
        <v>0</v>
      </c>
      <c r="Y28" s="360">
        <v>0</v>
      </c>
      <c r="Z28" s="360">
        <v>0</v>
      </c>
      <c r="AA28" s="360">
        <v>0</v>
      </c>
      <c r="AB28" s="1086"/>
      <c r="AC28" s="360">
        <v>0</v>
      </c>
    </row>
    <row r="29" spans="1:29" s="65" customFormat="1" ht="22.5" customHeight="1" thickBot="1">
      <c r="A29" s="80" t="s">
        <v>11</v>
      </c>
      <c r="B29" s="106" t="s">
        <v>101</v>
      </c>
      <c r="C29" s="106"/>
      <c r="D29" s="106"/>
      <c r="E29" s="349">
        <v>0</v>
      </c>
      <c r="F29" s="350">
        <v>0</v>
      </c>
      <c r="G29" s="350">
        <v>0</v>
      </c>
      <c r="H29" s="350">
        <v>0</v>
      </c>
      <c r="I29" s="350">
        <v>0</v>
      </c>
      <c r="J29" s="350">
        <v>0</v>
      </c>
      <c r="K29" s="350">
        <v>0</v>
      </c>
      <c r="L29" s="1087"/>
      <c r="M29" s="349">
        <v>0</v>
      </c>
      <c r="N29" s="349">
        <v>0</v>
      </c>
      <c r="O29" s="349">
        <v>0</v>
      </c>
      <c r="P29" s="349">
        <v>0</v>
      </c>
      <c r="Q29" s="349">
        <v>0</v>
      </c>
      <c r="R29" s="349">
        <v>0</v>
      </c>
      <c r="S29" s="349">
        <v>0</v>
      </c>
      <c r="T29" s="1087"/>
      <c r="U29" s="349">
        <v>0</v>
      </c>
      <c r="V29" s="349">
        <v>0</v>
      </c>
      <c r="W29" s="349">
        <v>0</v>
      </c>
      <c r="X29" s="349">
        <v>0</v>
      </c>
      <c r="Y29" s="349">
        <v>0</v>
      </c>
      <c r="Z29" s="349">
        <v>0</v>
      </c>
      <c r="AA29" s="349">
        <v>0</v>
      </c>
      <c r="AB29" s="1087"/>
      <c r="AC29" s="349">
        <v>0</v>
      </c>
    </row>
    <row r="30" spans="1:29" s="65" customFormat="1" ht="22.5" customHeight="1" hidden="1" thickBot="1">
      <c r="A30" s="100"/>
      <c r="B30" s="1487"/>
      <c r="C30" s="1487"/>
      <c r="D30" s="1487"/>
      <c r="E30" s="692"/>
      <c r="F30" s="1095"/>
      <c r="G30" s="1095"/>
      <c r="H30" s="1095"/>
      <c r="I30" s="1095"/>
      <c r="J30" s="1095"/>
      <c r="K30" s="1095"/>
      <c r="L30" s="1088" t="e">
        <f t="shared" si="3"/>
        <v>#DIV/0!</v>
      </c>
      <c r="M30" s="692"/>
      <c r="N30" s="692"/>
      <c r="O30" s="692"/>
      <c r="P30" s="692"/>
      <c r="Q30" s="692"/>
      <c r="R30" s="692"/>
      <c r="S30" s="692"/>
      <c r="T30" s="1088" t="e">
        <f t="shared" si="5"/>
        <v>#DIV/0!</v>
      </c>
      <c r="U30" s="692"/>
      <c r="V30" s="692"/>
      <c r="W30" s="692"/>
      <c r="X30" s="692"/>
      <c r="Y30" s="692"/>
      <c r="Z30" s="692"/>
      <c r="AA30" s="692"/>
      <c r="AB30" s="1088" t="e">
        <f>+AA30/Z30</f>
        <v>#DIV/0!</v>
      </c>
      <c r="AC30" s="692"/>
    </row>
    <row r="31" spans="1:29" s="65" customFormat="1" ht="22.5" customHeight="1" thickBot="1">
      <c r="A31" s="100" t="s">
        <v>12</v>
      </c>
      <c r="B31" s="1447" t="s">
        <v>102</v>
      </c>
      <c r="C31" s="1447"/>
      <c r="D31" s="1447"/>
      <c r="E31" s="346">
        <f aca="true" t="shared" si="21" ref="E31:J31">E6+E17+E25+E29</f>
        <v>431633553</v>
      </c>
      <c r="F31" s="284">
        <f t="shared" si="21"/>
        <v>431618554</v>
      </c>
      <c r="G31" s="284">
        <f t="shared" si="21"/>
        <v>436968404</v>
      </c>
      <c r="H31" s="284">
        <f t="shared" si="21"/>
        <v>614299026</v>
      </c>
      <c r="I31" s="284">
        <f t="shared" si="21"/>
        <v>624378429</v>
      </c>
      <c r="J31" s="284">
        <f t="shared" si="21"/>
        <v>665781971</v>
      </c>
      <c r="K31" s="284">
        <f>K6+K17+K25+K29</f>
        <v>338662890</v>
      </c>
      <c r="L31" s="1079">
        <f t="shared" si="3"/>
        <v>0.5086693613696548</v>
      </c>
      <c r="M31" s="346">
        <f aca="true" t="shared" si="22" ref="M31:S31">M6+M17+M25</f>
        <v>410688071</v>
      </c>
      <c r="N31" s="346">
        <f t="shared" si="22"/>
        <v>408682571</v>
      </c>
      <c r="O31" s="346">
        <f t="shared" si="22"/>
        <v>414187680</v>
      </c>
      <c r="P31" s="346">
        <f t="shared" si="22"/>
        <v>591518301</v>
      </c>
      <c r="Q31" s="346">
        <f t="shared" si="22"/>
        <v>601316703</v>
      </c>
      <c r="R31" s="346">
        <f t="shared" si="22"/>
        <v>645631340</v>
      </c>
      <c r="S31" s="346">
        <f t="shared" si="22"/>
        <v>322028448</v>
      </c>
      <c r="T31" s="1079">
        <f t="shared" si="5"/>
        <v>0.4987806942581195</v>
      </c>
      <c r="U31" s="346">
        <f>U6+U17+U25+U29+U35</f>
        <v>20945482</v>
      </c>
      <c r="V31" s="346">
        <f aca="true" t="shared" si="23" ref="V31:AC31">V6+V17+V25+V29+V35</f>
        <v>22935984</v>
      </c>
      <c r="W31" s="346">
        <f t="shared" si="23"/>
        <v>22780726</v>
      </c>
      <c r="X31" s="346">
        <f t="shared" si="23"/>
        <v>22780728</v>
      </c>
      <c r="Y31" s="346">
        <f t="shared" si="23"/>
        <v>22850730</v>
      </c>
      <c r="Z31" s="346">
        <f t="shared" si="23"/>
        <v>20150631</v>
      </c>
      <c r="AA31" s="346">
        <f>AA6+AA17+AA25+AA29+AA35</f>
        <v>16634442</v>
      </c>
      <c r="AB31" s="1079">
        <f>+AA31/Z31</f>
        <v>0.825504769552874</v>
      </c>
      <c r="AC31" s="346">
        <f t="shared" si="23"/>
        <v>15.600383961680983</v>
      </c>
    </row>
    <row r="32" spans="1:29" s="65" customFormat="1" ht="22.5" customHeight="1" thickBot="1">
      <c r="A32" s="78" t="s">
        <v>13</v>
      </c>
      <c r="B32" s="1495" t="s">
        <v>103</v>
      </c>
      <c r="C32" s="1495"/>
      <c r="D32" s="1495"/>
      <c r="E32" s="351">
        <f aca="true" t="shared" si="24" ref="E32:J32">SUM(E33:E36)</f>
        <v>232217284</v>
      </c>
      <c r="F32" s="103">
        <f t="shared" si="24"/>
        <v>232232283</v>
      </c>
      <c r="G32" s="103">
        <f t="shared" si="24"/>
        <v>232248598</v>
      </c>
      <c r="H32" s="103">
        <f t="shared" si="24"/>
        <v>232248598</v>
      </c>
      <c r="I32" s="103">
        <f t="shared" si="24"/>
        <v>232686795</v>
      </c>
      <c r="J32" s="103">
        <f t="shared" si="24"/>
        <v>217015617</v>
      </c>
      <c r="K32" s="103">
        <f>SUM(K33:K36)</f>
        <v>217015617</v>
      </c>
      <c r="L32" s="1089">
        <f t="shared" si="3"/>
        <v>1</v>
      </c>
      <c r="M32" s="351">
        <f aca="true" t="shared" si="25" ref="M32:S32">SUM(M33:M36)</f>
        <v>232217284</v>
      </c>
      <c r="N32" s="351">
        <f t="shared" si="25"/>
        <v>232232283</v>
      </c>
      <c r="O32" s="351">
        <f t="shared" si="25"/>
        <v>232248598</v>
      </c>
      <c r="P32" s="351">
        <f t="shared" si="25"/>
        <v>232248598</v>
      </c>
      <c r="Q32" s="351">
        <f t="shared" si="25"/>
        <v>232686795</v>
      </c>
      <c r="R32" s="351">
        <f t="shared" si="25"/>
        <v>217015617</v>
      </c>
      <c r="S32" s="351">
        <f t="shared" si="25"/>
        <v>217015617</v>
      </c>
      <c r="T32" s="1089">
        <f t="shared" si="5"/>
        <v>1</v>
      </c>
      <c r="U32" s="351">
        <f>SUM(U33:U35)</f>
        <v>0</v>
      </c>
      <c r="V32" s="351">
        <f aca="true" t="shared" si="26" ref="V32:AC32">SUM(V33:V35)</f>
        <v>1</v>
      </c>
      <c r="W32" s="351">
        <f t="shared" si="26"/>
        <v>2</v>
      </c>
      <c r="X32" s="351">
        <f t="shared" si="26"/>
        <v>3</v>
      </c>
      <c r="Y32" s="351">
        <f t="shared" si="26"/>
        <v>4</v>
      </c>
      <c r="Z32" s="351">
        <f t="shared" si="26"/>
        <v>0</v>
      </c>
      <c r="AA32" s="351">
        <f>SUM(AA33:AA35)</f>
        <v>0</v>
      </c>
      <c r="AB32" s="1089"/>
      <c r="AC32" s="351">
        <f t="shared" si="26"/>
        <v>7</v>
      </c>
    </row>
    <row r="33" spans="1:29" s="5" customFormat="1" ht="22.5" customHeight="1">
      <c r="A33" s="122"/>
      <c r="B33" s="104" t="s">
        <v>46</v>
      </c>
      <c r="C33" s="1517" t="s">
        <v>281</v>
      </c>
      <c r="D33" s="1517"/>
      <c r="E33" s="347">
        <v>3023740</v>
      </c>
      <c r="F33" s="285">
        <v>3023740</v>
      </c>
      <c r="G33" s="285">
        <v>3023740</v>
      </c>
      <c r="H33" s="285">
        <v>3023740</v>
      </c>
      <c r="I33" s="285">
        <v>3023740</v>
      </c>
      <c r="J33" s="285">
        <v>3023740</v>
      </c>
      <c r="K33" s="285">
        <v>3023740</v>
      </c>
      <c r="L33" s="1080">
        <f t="shared" si="3"/>
        <v>1</v>
      </c>
      <c r="M33" s="347">
        <f aca="true" t="shared" si="27" ref="M33:S36">E33</f>
        <v>3023740</v>
      </c>
      <c r="N33" s="347">
        <f t="shared" si="27"/>
        <v>3023740</v>
      </c>
      <c r="O33" s="347">
        <f t="shared" si="27"/>
        <v>3023740</v>
      </c>
      <c r="P33" s="347">
        <f t="shared" si="27"/>
        <v>3023740</v>
      </c>
      <c r="Q33" s="347">
        <f t="shared" si="27"/>
        <v>3023740</v>
      </c>
      <c r="R33" s="347">
        <f t="shared" si="27"/>
        <v>3023740</v>
      </c>
      <c r="S33" s="347">
        <f t="shared" si="27"/>
        <v>3023740</v>
      </c>
      <c r="T33" s="1080">
        <f t="shared" si="5"/>
        <v>1</v>
      </c>
      <c r="U33" s="347"/>
      <c r="V33" s="347"/>
      <c r="W33" s="347"/>
      <c r="X33" s="347"/>
      <c r="Y33" s="347"/>
      <c r="Z33" s="347"/>
      <c r="AA33" s="347"/>
      <c r="AB33" s="1080"/>
      <c r="AC33" s="347"/>
    </row>
    <row r="34" spans="1:29" s="5" customFormat="1" ht="22.5" customHeight="1">
      <c r="A34" s="82"/>
      <c r="B34" s="91" t="s">
        <v>324</v>
      </c>
      <c r="C34" s="1494" t="s">
        <v>467</v>
      </c>
      <c r="D34" s="1494"/>
      <c r="E34" s="380">
        <v>29500000</v>
      </c>
      <c r="F34" s="381">
        <v>29500000</v>
      </c>
      <c r="G34" s="381">
        <v>29500000</v>
      </c>
      <c r="H34" s="381">
        <v>29500000</v>
      </c>
      <c r="I34" s="381">
        <v>29500000</v>
      </c>
      <c r="J34" s="381">
        <v>29500000</v>
      </c>
      <c r="K34" s="381">
        <v>29500000</v>
      </c>
      <c r="L34" s="1081">
        <f t="shared" si="3"/>
        <v>1</v>
      </c>
      <c r="M34" s="380">
        <f t="shared" si="27"/>
        <v>29500000</v>
      </c>
      <c r="N34" s="380">
        <f t="shared" si="27"/>
        <v>29500000</v>
      </c>
      <c r="O34" s="380">
        <f t="shared" si="27"/>
        <v>29500000</v>
      </c>
      <c r="P34" s="380">
        <f t="shared" si="27"/>
        <v>29500000</v>
      </c>
      <c r="Q34" s="380">
        <f t="shared" si="27"/>
        <v>29500000</v>
      </c>
      <c r="R34" s="380">
        <f t="shared" si="27"/>
        <v>29500000</v>
      </c>
      <c r="S34" s="380">
        <f t="shared" si="27"/>
        <v>29500000</v>
      </c>
      <c r="T34" s="1081">
        <f t="shared" si="5"/>
        <v>1</v>
      </c>
      <c r="U34" s="380"/>
      <c r="V34" s="380"/>
      <c r="W34" s="380"/>
      <c r="X34" s="380"/>
      <c r="Y34" s="380"/>
      <c r="Z34" s="380"/>
      <c r="AA34" s="380"/>
      <c r="AB34" s="1081"/>
      <c r="AC34" s="380"/>
    </row>
    <row r="35" spans="1:29" s="5" customFormat="1" ht="22.5" customHeight="1" thickBot="1">
      <c r="A35" s="581"/>
      <c r="B35" s="582" t="s">
        <v>430</v>
      </c>
      <c r="C35" s="583" t="s">
        <v>280</v>
      </c>
      <c r="D35" s="583"/>
      <c r="E35" s="584">
        <v>191571125</v>
      </c>
      <c r="F35" s="1096">
        <f>191571125+14999</f>
        <v>191586124</v>
      </c>
      <c r="G35" s="1096">
        <f>191571125+14999+4445+11870</f>
        <v>191602439</v>
      </c>
      <c r="H35" s="1096">
        <f>191571125+14999+4445+11870</f>
        <v>191602439</v>
      </c>
      <c r="I35" s="1096">
        <f>191571125+14999+4445+11870+438197</f>
        <v>192040636</v>
      </c>
      <c r="J35" s="1096">
        <v>176369458</v>
      </c>
      <c r="K35" s="1096">
        <v>176369458</v>
      </c>
      <c r="L35" s="1090">
        <f t="shared" si="3"/>
        <v>1</v>
      </c>
      <c r="M35" s="584">
        <f t="shared" si="27"/>
        <v>191571125</v>
      </c>
      <c r="N35" s="584">
        <f t="shared" si="27"/>
        <v>191586124</v>
      </c>
      <c r="O35" s="584">
        <f t="shared" si="27"/>
        <v>191602439</v>
      </c>
      <c r="P35" s="584">
        <f t="shared" si="27"/>
        <v>191602439</v>
      </c>
      <c r="Q35" s="584">
        <f t="shared" si="27"/>
        <v>192040636</v>
      </c>
      <c r="R35" s="584">
        <f t="shared" si="27"/>
        <v>176369458</v>
      </c>
      <c r="S35" s="584">
        <f t="shared" si="27"/>
        <v>176369458</v>
      </c>
      <c r="T35" s="1090">
        <f t="shared" si="5"/>
        <v>1</v>
      </c>
      <c r="U35" s="584">
        <v>0</v>
      </c>
      <c r="V35" s="584">
        <v>1</v>
      </c>
      <c r="W35" s="584">
        <v>2</v>
      </c>
      <c r="X35" s="584">
        <v>3</v>
      </c>
      <c r="Y35" s="584">
        <v>4</v>
      </c>
      <c r="Z35" s="584">
        <v>0</v>
      </c>
      <c r="AA35" s="584"/>
      <c r="AB35" s="1090"/>
      <c r="AC35" s="584">
        <v>7</v>
      </c>
    </row>
    <row r="36" spans="1:29" s="5" customFormat="1" ht="22.5" customHeight="1" thickBot="1">
      <c r="A36" s="581"/>
      <c r="B36" s="582" t="s">
        <v>465</v>
      </c>
      <c r="C36" s="583" t="s">
        <v>429</v>
      </c>
      <c r="D36" s="583"/>
      <c r="E36" s="584">
        <v>8122419</v>
      </c>
      <c r="F36" s="1096">
        <v>8122419</v>
      </c>
      <c r="G36" s="1096">
        <v>8122419</v>
      </c>
      <c r="H36" s="1096">
        <v>8122419</v>
      </c>
      <c r="I36" s="1096">
        <v>8122419</v>
      </c>
      <c r="J36" s="1096">
        <v>8122419</v>
      </c>
      <c r="K36" s="1096">
        <v>8122419</v>
      </c>
      <c r="L36" s="1090">
        <f t="shared" si="3"/>
        <v>1</v>
      </c>
      <c r="M36" s="584">
        <f t="shared" si="27"/>
        <v>8122419</v>
      </c>
      <c r="N36" s="584">
        <f t="shared" si="27"/>
        <v>8122419</v>
      </c>
      <c r="O36" s="584">
        <f t="shared" si="27"/>
        <v>8122419</v>
      </c>
      <c r="P36" s="584">
        <f t="shared" si="27"/>
        <v>8122419</v>
      </c>
      <c r="Q36" s="584">
        <f t="shared" si="27"/>
        <v>8122419</v>
      </c>
      <c r="R36" s="584">
        <f t="shared" si="27"/>
        <v>8122419</v>
      </c>
      <c r="S36" s="584">
        <f t="shared" si="27"/>
        <v>8122419</v>
      </c>
      <c r="T36" s="1090">
        <f t="shared" si="5"/>
        <v>1</v>
      </c>
      <c r="U36" s="584"/>
      <c r="V36" s="584"/>
      <c r="W36" s="584"/>
      <c r="X36" s="584"/>
      <c r="Y36" s="584"/>
      <c r="Z36" s="584"/>
      <c r="AA36" s="584"/>
      <c r="AB36" s="1090"/>
      <c r="AC36" s="584"/>
    </row>
    <row r="37" spans="1:29" s="5" customFormat="1" ht="22.5" customHeight="1" thickBot="1">
      <c r="A37" s="100" t="s">
        <v>466</v>
      </c>
      <c r="B37" s="1447" t="s">
        <v>238</v>
      </c>
      <c r="C37" s="1447"/>
      <c r="D37" s="1447"/>
      <c r="E37" s="348">
        <f aca="true" t="shared" si="28" ref="E37:J37">E31+E32</f>
        <v>663850837</v>
      </c>
      <c r="F37" s="64">
        <f t="shared" si="28"/>
        <v>663850837</v>
      </c>
      <c r="G37" s="64">
        <f t="shared" si="28"/>
        <v>669217002</v>
      </c>
      <c r="H37" s="64">
        <f t="shared" si="28"/>
        <v>846547624</v>
      </c>
      <c r="I37" s="64">
        <f t="shared" si="28"/>
        <v>857065224</v>
      </c>
      <c r="J37" s="64">
        <f t="shared" si="28"/>
        <v>882797588</v>
      </c>
      <c r="K37" s="64">
        <f>K31+K32</f>
        <v>555678507</v>
      </c>
      <c r="L37" s="1084">
        <f t="shared" si="3"/>
        <v>0.6294517730376944</v>
      </c>
      <c r="M37" s="348">
        <f aca="true" t="shared" si="29" ref="M37:S37">M31+M32</f>
        <v>642905355</v>
      </c>
      <c r="N37" s="348">
        <f t="shared" si="29"/>
        <v>640914854</v>
      </c>
      <c r="O37" s="348">
        <f t="shared" si="29"/>
        <v>646436278</v>
      </c>
      <c r="P37" s="348">
        <f t="shared" si="29"/>
        <v>823766899</v>
      </c>
      <c r="Q37" s="348">
        <f t="shared" si="29"/>
        <v>834003498</v>
      </c>
      <c r="R37" s="348">
        <f t="shared" si="29"/>
        <v>862646957</v>
      </c>
      <c r="S37" s="348">
        <f t="shared" si="29"/>
        <v>539044065</v>
      </c>
      <c r="T37" s="1084">
        <f t="shared" si="5"/>
        <v>0.6248721572897173</v>
      </c>
      <c r="U37" s="348">
        <f>U31+U32</f>
        <v>20945482</v>
      </c>
      <c r="V37" s="348">
        <f aca="true" t="shared" si="30" ref="V37:AC37">V31+V32</f>
        <v>22935985</v>
      </c>
      <c r="W37" s="348">
        <f t="shared" si="30"/>
        <v>22780728</v>
      </c>
      <c r="X37" s="348">
        <f t="shared" si="30"/>
        <v>22780731</v>
      </c>
      <c r="Y37" s="348">
        <f t="shared" si="30"/>
        <v>22850734</v>
      </c>
      <c r="Z37" s="348">
        <f t="shared" si="30"/>
        <v>20150631</v>
      </c>
      <c r="AA37" s="348">
        <f>AA31+AA32</f>
        <v>16634442</v>
      </c>
      <c r="AB37" s="1084">
        <f>+AA37/Z37</f>
        <v>0.825504769552874</v>
      </c>
      <c r="AC37" s="348">
        <f t="shared" si="30"/>
        <v>22.600383961680983</v>
      </c>
    </row>
    <row r="38" spans="1:29" s="5" customFormat="1" ht="19.5" customHeight="1" hidden="1" thickBot="1">
      <c r="A38" s="1455" t="s">
        <v>239</v>
      </c>
      <c r="B38" s="1456"/>
      <c r="C38" s="1456"/>
      <c r="D38" s="1456"/>
      <c r="E38" s="528"/>
      <c r="F38" s="529"/>
      <c r="G38" s="529"/>
      <c r="H38" s="529"/>
      <c r="I38" s="529"/>
      <c r="J38" s="529"/>
      <c r="K38" s="529"/>
      <c r="L38" s="1091" t="e">
        <f t="shared" si="3"/>
        <v>#DIV/0!</v>
      </c>
      <c r="M38" s="528"/>
      <c r="N38" s="528"/>
      <c r="O38" s="528"/>
      <c r="P38" s="528"/>
      <c r="Q38" s="528"/>
      <c r="R38" s="528"/>
      <c r="S38" s="528"/>
      <c r="T38" s="1091" t="e">
        <f t="shared" si="5"/>
        <v>#DIV/0!</v>
      </c>
      <c r="U38" s="528"/>
      <c r="V38" s="528"/>
      <c r="W38" s="528"/>
      <c r="X38" s="528"/>
      <c r="Y38" s="528"/>
      <c r="Z38" s="528"/>
      <c r="AA38" s="528"/>
      <c r="AB38" s="1091" t="e">
        <f>+AA38/Z38</f>
        <v>#DIV/0!</v>
      </c>
      <c r="AC38" s="528"/>
    </row>
    <row r="39" spans="1:29" s="5" customFormat="1" ht="19.5" customHeight="1" thickBot="1">
      <c r="A39" s="1446" t="s">
        <v>8</v>
      </c>
      <c r="B39" s="1447"/>
      <c r="C39" s="1447"/>
      <c r="D39" s="1447"/>
      <c r="E39" s="383">
        <f aca="true" t="shared" si="31" ref="E39:J39">SUM(E37:E38)</f>
        <v>663850837</v>
      </c>
      <c r="F39" s="384">
        <f t="shared" si="31"/>
        <v>663850837</v>
      </c>
      <c r="G39" s="384">
        <f>SUM(G37:G38)</f>
        <v>669217002</v>
      </c>
      <c r="H39" s="384">
        <f>SUM(H37:H38)</f>
        <v>846547624</v>
      </c>
      <c r="I39" s="384">
        <f>SUM(I37:I38)</f>
        <v>857065224</v>
      </c>
      <c r="J39" s="384">
        <f t="shared" si="31"/>
        <v>882797588</v>
      </c>
      <c r="K39" s="384">
        <f>SUM(K37:K38)</f>
        <v>555678507</v>
      </c>
      <c r="L39" s="1092">
        <f t="shared" si="3"/>
        <v>0.6294517730376944</v>
      </c>
      <c r="M39" s="383">
        <f aca="true" t="shared" si="32" ref="M39:S39">SUM(M37:M38)</f>
        <v>642905355</v>
      </c>
      <c r="N39" s="383">
        <f t="shared" si="32"/>
        <v>640914854</v>
      </c>
      <c r="O39" s="383">
        <f t="shared" si="32"/>
        <v>646436278</v>
      </c>
      <c r="P39" s="383">
        <f t="shared" si="32"/>
        <v>823766899</v>
      </c>
      <c r="Q39" s="383">
        <f t="shared" si="32"/>
        <v>834003498</v>
      </c>
      <c r="R39" s="383">
        <f t="shared" si="32"/>
        <v>862646957</v>
      </c>
      <c r="S39" s="383">
        <f t="shared" si="32"/>
        <v>539044065</v>
      </c>
      <c r="T39" s="1092">
        <f t="shared" si="5"/>
        <v>0.6248721572897173</v>
      </c>
      <c r="U39" s="383">
        <f>SUM(U37:U38)</f>
        <v>20945482</v>
      </c>
      <c r="V39" s="383">
        <f aca="true" t="shared" si="33" ref="V39:AC39">SUM(V37:V38)</f>
        <v>22935985</v>
      </c>
      <c r="W39" s="383">
        <f t="shared" si="33"/>
        <v>22780728</v>
      </c>
      <c r="X39" s="383">
        <f t="shared" si="33"/>
        <v>22780731</v>
      </c>
      <c r="Y39" s="383">
        <f t="shared" si="33"/>
        <v>22850734</v>
      </c>
      <c r="Z39" s="383">
        <f t="shared" si="33"/>
        <v>20150631</v>
      </c>
      <c r="AA39" s="383">
        <f>SUM(AA37:AA38)</f>
        <v>16634442</v>
      </c>
      <c r="AB39" s="1092">
        <f>+AA39/Z39</f>
        <v>0.825504769552874</v>
      </c>
      <c r="AC39" s="383">
        <f t="shared" si="33"/>
        <v>22.600383961680983</v>
      </c>
    </row>
    <row r="40" spans="1:29" s="5" customFormat="1" ht="19.5" customHeight="1">
      <c r="A40" s="429"/>
      <c r="B40" s="533"/>
      <c r="C40" s="429"/>
      <c r="D40" s="429"/>
      <c r="E40" s="534"/>
      <c r="F40" s="534"/>
      <c r="G40" s="534"/>
      <c r="H40" s="534"/>
      <c r="I40" s="534"/>
      <c r="J40" s="534"/>
      <c r="K40" s="534"/>
      <c r="L40" s="534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</row>
    <row r="41" spans="1:29" s="5" customFormat="1" ht="19.5" customHeight="1">
      <c r="A41" s="57"/>
      <c r="B41" s="60"/>
      <c r="C41" s="60"/>
      <c r="D41" s="27"/>
      <c r="E41" s="6"/>
      <c r="F41" s="6"/>
      <c r="G41" s="6"/>
      <c r="H41" s="6"/>
      <c r="I41" s="6"/>
      <c r="J41" s="6"/>
      <c r="K41" s="6"/>
      <c r="L41" s="6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</row>
    <row r="42" spans="1:12" ht="15.75">
      <c r="A42" s="109"/>
      <c r="B42" s="56"/>
      <c r="C42" s="56"/>
      <c r="D42" s="27"/>
      <c r="E42" s="879"/>
      <c r="F42" s="879"/>
      <c r="G42" s="879"/>
      <c r="H42" s="879"/>
      <c r="I42" s="879"/>
      <c r="J42" s="879"/>
      <c r="K42" s="879"/>
      <c r="L42" s="4"/>
    </row>
    <row r="43" spans="1:12" ht="15.75">
      <c r="A43" s="109"/>
      <c r="B43" s="56"/>
      <c r="C43" s="56"/>
      <c r="D43" s="27"/>
      <c r="E43" s="878" t="str">
        <f>IF(M39+U39=E39," ","HIBA-nincs egyenlőség")</f>
        <v> </v>
      </c>
      <c r="F43" s="878" t="str">
        <f>IF(N39+V39=F39," ","HIBA-nincs egyenlőség")</f>
        <v>HIBA-nincs egyenlőség</v>
      </c>
      <c r="G43" s="878"/>
      <c r="H43" s="878"/>
      <c r="I43" s="878"/>
      <c r="J43" s="878"/>
      <c r="K43" s="878"/>
      <c r="L43" s="878"/>
    </row>
    <row r="44" spans="1:22" ht="15.75">
      <c r="A44" s="109"/>
      <c r="B44" s="1"/>
      <c r="C44" s="1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09"/>
      <c r="B45" s="1"/>
      <c r="C45" s="1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09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09"/>
      <c r="B47" s="1"/>
      <c r="C47" s="1"/>
      <c r="D47" s="1"/>
      <c r="G47" s="6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09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09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09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12" ht="15.75">
      <c r="A51" s="109"/>
      <c r="B51" s="56"/>
      <c r="C51" s="56"/>
      <c r="D51" s="27"/>
      <c r="E51" s="3"/>
      <c r="F51" s="3"/>
      <c r="G51" s="3"/>
      <c r="H51" s="3"/>
      <c r="I51" s="3"/>
      <c r="J51" s="3"/>
      <c r="K51" s="3"/>
      <c r="L51" s="3"/>
    </row>
    <row r="52" spans="1:12" ht="15.75">
      <c r="A52" s="109"/>
      <c r="B52" s="56"/>
      <c r="C52" s="56"/>
      <c r="D52" s="27"/>
      <c r="E52" s="3"/>
      <c r="F52" s="3"/>
      <c r="G52" s="3"/>
      <c r="H52" s="3"/>
      <c r="I52" s="3"/>
      <c r="J52" s="3"/>
      <c r="K52" s="3"/>
      <c r="L52" s="3"/>
    </row>
    <row r="53" spans="1:12" ht="15.75">
      <c r="A53" s="109"/>
      <c r="B53" s="56"/>
      <c r="C53" s="56"/>
      <c r="D53" s="27"/>
      <c r="E53" s="3"/>
      <c r="F53" s="3"/>
      <c r="G53" s="3"/>
      <c r="H53" s="3"/>
      <c r="I53" s="3"/>
      <c r="J53" s="3"/>
      <c r="K53" s="3"/>
      <c r="L53" s="3"/>
    </row>
    <row r="54" spans="1:12" ht="15.75">
      <c r="A54" s="109"/>
      <c r="B54" s="56"/>
      <c r="C54" s="56"/>
      <c r="D54" s="27"/>
      <c r="E54" s="3"/>
      <c r="F54" s="3"/>
      <c r="G54" s="3"/>
      <c r="H54" s="3"/>
      <c r="I54" s="3"/>
      <c r="J54" s="3"/>
      <c r="K54" s="3"/>
      <c r="L54" s="3"/>
    </row>
    <row r="55" spans="1:12" ht="15.75">
      <c r="A55" s="109"/>
      <c r="B55" s="56"/>
      <c r="C55" s="56"/>
      <c r="D55" s="27"/>
      <c r="E55" s="3"/>
      <c r="F55" s="3"/>
      <c r="G55" s="3"/>
      <c r="H55" s="3"/>
      <c r="I55" s="3"/>
      <c r="J55" s="3"/>
      <c r="K55" s="3"/>
      <c r="L55" s="3"/>
    </row>
    <row r="56" spans="1:12" ht="15.75">
      <c r="A56" s="109"/>
      <c r="B56" s="56"/>
      <c r="C56" s="56"/>
      <c r="D56" s="27"/>
      <c r="E56" s="3"/>
      <c r="F56" s="3"/>
      <c r="G56" s="3"/>
      <c r="H56" s="3"/>
      <c r="I56" s="3"/>
      <c r="J56" s="3"/>
      <c r="K56" s="3"/>
      <c r="L56" s="3"/>
    </row>
    <row r="57" spans="1:12" ht="15.75">
      <c r="A57" s="109"/>
      <c r="B57" s="56"/>
      <c r="C57" s="56"/>
      <c r="D57" s="27"/>
      <c r="E57" s="3"/>
      <c r="F57" s="3"/>
      <c r="G57" s="3"/>
      <c r="H57" s="3"/>
      <c r="I57" s="3"/>
      <c r="J57" s="3"/>
      <c r="K57" s="3"/>
      <c r="L57" s="3"/>
    </row>
    <row r="58" spans="1:12" ht="15.75">
      <c r="A58" s="109"/>
      <c r="B58" s="56"/>
      <c r="C58" s="56"/>
      <c r="D58" s="27"/>
      <c r="E58" s="3"/>
      <c r="F58" s="3"/>
      <c r="G58" s="3"/>
      <c r="H58" s="3"/>
      <c r="I58" s="3"/>
      <c r="J58" s="3"/>
      <c r="K58" s="3"/>
      <c r="L58" s="3"/>
    </row>
    <row r="59" spans="1:12" ht="15.75">
      <c r="A59" s="109"/>
      <c r="B59" s="56"/>
      <c r="C59" s="56"/>
      <c r="D59" s="27"/>
      <c r="E59" s="3"/>
      <c r="F59" s="3"/>
      <c r="G59" s="3"/>
      <c r="H59" s="3"/>
      <c r="I59" s="3"/>
      <c r="J59" s="3"/>
      <c r="K59" s="3"/>
      <c r="L59" s="3"/>
    </row>
    <row r="60" spans="1:12" ht="15.75">
      <c r="A60" s="109"/>
      <c r="B60" s="56"/>
      <c r="C60" s="56"/>
      <c r="D60" s="27"/>
      <c r="E60" s="3"/>
      <c r="F60" s="3"/>
      <c r="G60" s="3"/>
      <c r="H60" s="3"/>
      <c r="I60" s="3"/>
      <c r="J60" s="3"/>
      <c r="K60" s="3"/>
      <c r="L60" s="3"/>
    </row>
  </sheetData>
  <sheetProtection/>
  <mergeCells count="20">
    <mergeCell ref="E1:Y1"/>
    <mergeCell ref="A2:U2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U4:AB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110" zoomScaleNormal="110" zoomScalePageLayoutView="0" workbookViewId="0" topLeftCell="C10">
      <selection activeCell="Z35" sqref="Z35"/>
    </sheetView>
  </sheetViews>
  <sheetFormatPr defaultColWidth="9.140625" defaultRowHeight="12.75"/>
  <cols>
    <col min="1" max="1" width="4.28125" style="211" customWidth="1"/>
    <col min="2" max="2" width="4.7109375" style="144" customWidth="1"/>
    <col min="3" max="3" width="45.421875" style="144" customWidth="1"/>
    <col min="4" max="4" width="11.140625" style="144" customWidth="1"/>
    <col min="5" max="5" width="10.57421875" style="144" hidden="1" customWidth="1"/>
    <col min="6" max="6" width="10.421875" style="144" hidden="1" customWidth="1"/>
    <col min="7" max="7" width="11.7109375" style="144" hidden="1" customWidth="1"/>
    <col min="8" max="8" width="12.421875" style="144" hidden="1" customWidth="1"/>
    <col min="9" max="9" width="10.140625" style="144" customWidth="1"/>
    <col min="10" max="10" width="9.8515625" style="144" customWidth="1"/>
    <col min="11" max="11" width="8.28125" style="144" customWidth="1"/>
    <col min="12" max="12" width="12.8515625" style="144" customWidth="1"/>
    <col min="13" max="13" width="11.00390625" style="144" hidden="1" customWidth="1"/>
    <col min="14" max="14" width="10.00390625" style="144" hidden="1" customWidth="1"/>
    <col min="15" max="15" width="10.140625" style="144" hidden="1" customWidth="1"/>
    <col min="16" max="16" width="10.28125" style="144" hidden="1" customWidth="1"/>
    <col min="17" max="18" width="10.28125" style="144" customWidth="1"/>
    <col min="19" max="19" width="9.8515625" style="144" customWidth="1"/>
    <col min="20" max="20" width="13.140625" style="144" customWidth="1"/>
    <col min="21" max="21" width="9.140625" style="144" hidden="1" customWidth="1"/>
    <col min="22" max="22" width="9.421875" style="144" hidden="1" customWidth="1"/>
    <col min="23" max="23" width="10.00390625" style="144" hidden="1" customWidth="1"/>
    <col min="24" max="24" width="10.8515625" style="144" hidden="1" customWidth="1"/>
    <col min="25" max="25" width="10.00390625" style="144" customWidth="1"/>
    <col min="26" max="27" width="9.140625" style="144" customWidth="1"/>
    <col min="28" max="28" width="9.140625" style="144" hidden="1" customWidth="1"/>
    <col min="29" max="29" width="11.421875" style="144" bestFit="1" customWidth="1"/>
    <col min="30" max="16384" width="9.140625" style="144" customWidth="1"/>
  </cols>
  <sheetData>
    <row r="1" spans="1:24" s="136" customFormat="1" ht="21" customHeight="1">
      <c r="A1" s="132"/>
      <c r="B1" s="133"/>
      <c r="C1" s="1518" t="s">
        <v>628</v>
      </c>
      <c r="D1" s="1518"/>
      <c r="E1" s="1518"/>
      <c r="F1" s="1518"/>
      <c r="G1" s="1518"/>
      <c r="H1" s="1518"/>
      <c r="I1" s="1518"/>
      <c r="J1" s="1518"/>
      <c r="K1" s="1518"/>
      <c r="L1" s="1518"/>
      <c r="M1" s="1518"/>
      <c r="N1" s="1518"/>
      <c r="O1" s="1518"/>
      <c r="P1" s="1518"/>
      <c r="Q1" s="1518"/>
      <c r="R1" s="1518"/>
      <c r="S1" s="1518"/>
      <c r="T1" s="1518"/>
      <c r="U1" s="1518"/>
      <c r="V1" s="1518"/>
      <c r="W1" s="1518"/>
      <c r="X1" s="1518"/>
    </row>
    <row r="2" spans="1:11" s="136" customFormat="1" ht="21" customHeight="1">
      <c r="A2" s="247"/>
      <c r="B2" s="133"/>
      <c r="C2" s="138"/>
      <c r="D2" s="137"/>
      <c r="E2" s="137"/>
      <c r="F2" s="137"/>
      <c r="G2" s="137"/>
      <c r="H2" s="137"/>
      <c r="I2" s="137"/>
      <c r="J2" s="137"/>
      <c r="K2" s="137"/>
    </row>
    <row r="3" spans="1:20" s="139" customFormat="1" ht="25.5" customHeight="1">
      <c r="A3" s="1521" t="s">
        <v>219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</row>
    <row r="4" spans="1:20" s="142" customFormat="1" ht="15.75" customHeight="1" thickBot="1">
      <c r="A4" s="140"/>
      <c r="B4" s="140"/>
      <c r="C4" s="140"/>
      <c r="T4" s="141" t="s">
        <v>447</v>
      </c>
    </row>
    <row r="5" spans="1:27" ht="36.75" customHeight="1" thickBot="1">
      <c r="A5" s="1519" t="s">
        <v>107</v>
      </c>
      <c r="B5" s="1520"/>
      <c r="C5" s="143" t="s">
        <v>108</v>
      </c>
      <c r="D5" s="1523" t="s">
        <v>5</v>
      </c>
      <c r="E5" s="1524"/>
      <c r="F5" s="1524"/>
      <c r="G5" s="1524"/>
      <c r="H5" s="1524"/>
      <c r="I5" s="1524"/>
      <c r="J5" s="1524"/>
      <c r="K5" s="1524"/>
      <c r="L5" s="1525" t="s">
        <v>105</v>
      </c>
      <c r="M5" s="1526"/>
      <c r="N5" s="1526"/>
      <c r="O5" s="1526"/>
      <c r="P5" s="1526"/>
      <c r="Q5" s="1523"/>
      <c r="R5" s="1523"/>
      <c r="S5" s="1523"/>
      <c r="T5" s="1525" t="s">
        <v>153</v>
      </c>
      <c r="U5" s="1526"/>
      <c r="V5" s="1526"/>
      <c r="W5" s="1526"/>
      <c r="X5" s="1526"/>
      <c r="Y5" s="1526"/>
      <c r="Z5" s="1526"/>
      <c r="AA5" s="1527"/>
    </row>
    <row r="6" spans="1:28" ht="13.5" thickBot="1">
      <c r="A6" s="303"/>
      <c r="B6" s="304"/>
      <c r="C6" s="143"/>
      <c r="D6" s="143" t="s">
        <v>230</v>
      </c>
      <c r="E6" s="143" t="s">
        <v>228</v>
      </c>
      <c r="F6" s="143" t="s">
        <v>231</v>
      </c>
      <c r="G6" s="143" t="s">
        <v>233</v>
      </c>
      <c r="H6" s="143" t="s">
        <v>246</v>
      </c>
      <c r="I6" s="143" t="s">
        <v>250</v>
      </c>
      <c r="J6" s="143" t="s">
        <v>236</v>
      </c>
      <c r="K6" s="431" t="s">
        <v>237</v>
      </c>
      <c r="L6" s="460" t="s">
        <v>230</v>
      </c>
      <c r="M6" s="143" t="s">
        <v>228</v>
      </c>
      <c r="N6" s="143" t="s">
        <v>231</v>
      </c>
      <c r="O6" s="143" t="s">
        <v>233</v>
      </c>
      <c r="P6" s="143" t="s">
        <v>246</v>
      </c>
      <c r="Q6" s="143" t="s">
        <v>250</v>
      </c>
      <c r="R6" s="143" t="s">
        <v>236</v>
      </c>
      <c r="S6" s="431" t="s">
        <v>237</v>
      </c>
      <c r="T6" s="460" t="s">
        <v>230</v>
      </c>
      <c r="U6" s="143" t="s">
        <v>228</v>
      </c>
      <c r="V6" s="143" t="s">
        <v>231</v>
      </c>
      <c r="W6" s="143" t="s">
        <v>233</v>
      </c>
      <c r="X6" s="143" t="s">
        <v>246</v>
      </c>
      <c r="Y6" s="143" t="s">
        <v>250</v>
      </c>
      <c r="Z6" s="143" t="s">
        <v>236</v>
      </c>
      <c r="AA6" s="431" t="s">
        <v>237</v>
      </c>
      <c r="AB6" s="143" t="s">
        <v>250</v>
      </c>
    </row>
    <row r="7" spans="1:28" s="148" customFormat="1" ht="12.75" customHeight="1" thickBot="1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5</v>
      </c>
      <c r="J7" s="146">
        <v>6</v>
      </c>
      <c r="K7" s="147">
        <v>7</v>
      </c>
      <c r="L7" s="145">
        <v>8</v>
      </c>
      <c r="M7" s="146">
        <v>10</v>
      </c>
      <c r="N7" s="146">
        <v>11</v>
      </c>
      <c r="O7" s="146">
        <v>12</v>
      </c>
      <c r="P7" s="146">
        <v>13</v>
      </c>
      <c r="Q7" s="296">
        <v>9</v>
      </c>
      <c r="R7" s="296">
        <v>10</v>
      </c>
      <c r="S7" s="296">
        <v>11</v>
      </c>
      <c r="T7" s="145">
        <v>12</v>
      </c>
      <c r="U7" s="146">
        <v>15</v>
      </c>
      <c r="V7" s="146">
        <v>16</v>
      </c>
      <c r="W7" s="146">
        <v>17</v>
      </c>
      <c r="X7" s="146">
        <v>18</v>
      </c>
      <c r="Y7" s="146">
        <v>13</v>
      </c>
      <c r="Z7" s="146">
        <v>14</v>
      </c>
      <c r="AA7" s="147">
        <v>15</v>
      </c>
      <c r="AB7" s="146"/>
    </row>
    <row r="8" spans="1:28" s="148" customFormat="1" ht="15.75" customHeight="1" thickBot="1">
      <c r="A8" s="149"/>
      <c r="B8" s="150"/>
      <c r="C8" s="150" t="s">
        <v>109</v>
      </c>
      <c r="D8" s="277"/>
      <c r="E8" s="277"/>
      <c r="F8" s="213"/>
      <c r="G8" s="213"/>
      <c r="H8" s="213"/>
      <c r="I8" s="213"/>
      <c r="J8" s="213"/>
      <c r="K8" s="278"/>
      <c r="L8" s="437"/>
      <c r="M8" s="277"/>
      <c r="N8" s="213"/>
      <c r="O8" s="213"/>
      <c r="P8" s="213"/>
      <c r="Q8" s="297"/>
      <c r="R8" s="297"/>
      <c r="S8" s="297"/>
      <c r="T8" s="437"/>
      <c r="U8" s="437"/>
      <c r="V8" s="213"/>
      <c r="W8" s="213"/>
      <c r="X8" s="213"/>
      <c r="Y8" s="213"/>
      <c r="Z8" s="213"/>
      <c r="AA8" s="278"/>
      <c r="AB8" s="213"/>
    </row>
    <row r="9" spans="1:28" s="154" customFormat="1" ht="12" customHeight="1" thickBot="1">
      <c r="A9" s="145" t="s">
        <v>27</v>
      </c>
      <c r="B9" s="151"/>
      <c r="C9" s="152" t="s">
        <v>336</v>
      </c>
      <c r="D9" s="214"/>
      <c r="E9" s="214">
        <f aca="true" t="shared" si="0" ref="E9:P9">SUM(E10:E13)</f>
        <v>65640</v>
      </c>
      <c r="F9" s="214">
        <f t="shared" si="0"/>
        <v>78540</v>
      </c>
      <c r="G9" s="214">
        <f t="shared" si="0"/>
        <v>78540</v>
      </c>
      <c r="H9" s="214">
        <f t="shared" si="0"/>
        <v>151672</v>
      </c>
      <c r="I9" s="214">
        <f t="shared" si="0"/>
        <v>140172</v>
      </c>
      <c r="J9" s="214">
        <f>SUM(J10:J13)</f>
        <v>70171</v>
      </c>
      <c r="K9" s="1043">
        <f>+J9/I9</f>
        <v>0.500606397854065</v>
      </c>
      <c r="L9" s="214">
        <f t="shared" si="0"/>
        <v>0</v>
      </c>
      <c r="M9" s="214">
        <f t="shared" si="0"/>
        <v>65640</v>
      </c>
      <c r="N9" s="214">
        <f t="shared" si="0"/>
        <v>78540</v>
      </c>
      <c r="O9" s="214">
        <f t="shared" si="0"/>
        <v>78540</v>
      </c>
      <c r="P9" s="214">
        <f t="shared" si="0"/>
        <v>151672</v>
      </c>
      <c r="Q9" s="214">
        <f>SUM(Q10:Q13)</f>
        <v>140172</v>
      </c>
      <c r="R9" s="214">
        <f>SUM(R10:R13)</f>
        <v>70171</v>
      </c>
      <c r="S9" s="1043">
        <f>+R9/Q9</f>
        <v>0.500606397854065</v>
      </c>
      <c r="T9" s="438"/>
      <c r="U9" s="438"/>
      <c r="V9" s="214"/>
      <c r="W9" s="214"/>
      <c r="X9" s="214"/>
      <c r="Y9" s="214"/>
      <c r="Z9" s="214"/>
      <c r="AA9" s="153"/>
      <c r="AB9" s="214"/>
    </row>
    <row r="10" spans="1:28" s="154" customFormat="1" ht="12" customHeight="1">
      <c r="A10" s="155"/>
      <c r="B10" s="166" t="s">
        <v>36</v>
      </c>
      <c r="C10" s="820" t="s">
        <v>473</v>
      </c>
      <c r="D10" s="821"/>
      <c r="E10" s="821"/>
      <c r="F10" s="821"/>
      <c r="G10" s="821"/>
      <c r="H10" s="822">
        <v>4000</v>
      </c>
      <c r="I10" s="822">
        <v>4000</v>
      </c>
      <c r="J10" s="822">
        <v>4000</v>
      </c>
      <c r="K10" s="1044">
        <f>+J10/I10</f>
        <v>1</v>
      </c>
      <c r="L10" s="824"/>
      <c r="M10" s="821"/>
      <c r="N10" s="821"/>
      <c r="O10" s="821"/>
      <c r="P10" s="822">
        <v>4000</v>
      </c>
      <c r="Q10" s="822">
        <v>4000</v>
      </c>
      <c r="R10" s="822">
        <v>4000</v>
      </c>
      <c r="S10" s="1044">
        <f>+R10/Q10</f>
        <v>1</v>
      </c>
      <c r="T10" s="824"/>
      <c r="U10" s="824"/>
      <c r="V10" s="821"/>
      <c r="W10" s="821"/>
      <c r="X10" s="821"/>
      <c r="Y10" s="821"/>
      <c r="Z10" s="821"/>
      <c r="AA10" s="1044"/>
      <c r="AB10" s="818"/>
    </row>
    <row r="11" spans="1:28" s="154" customFormat="1" ht="12" customHeight="1">
      <c r="A11" s="861"/>
      <c r="B11" s="156" t="s">
        <v>37</v>
      </c>
      <c r="C11" s="862" t="s">
        <v>492</v>
      </c>
      <c r="D11" s="863"/>
      <c r="E11" s="863"/>
      <c r="F11" s="864">
        <v>16800</v>
      </c>
      <c r="G11" s="864">
        <v>16800</v>
      </c>
      <c r="H11" s="864">
        <f>69132+16800</f>
        <v>85932</v>
      </c>
      <c r="I11" s="864">
        <v>104432</v>
      </c>
      <c r="J11" s="864">
        <v>35300</v>
      </c>
      <c r="K11" s="1045">
        <f>+J11/I11</f>
        <v>0.33801899800827334</v>
      </c>
      <c r="L11" s="898"/>
      <c r="M11" s="864"/>
      <c r="N11" s="864">
        <v>16800</v>
      </c>
      <c r="O11" s="864">
        <v>16800</v>
      </c>
      <c r="P11" s="864">
        <f>69132+16800</f>
        <v>85932</v>
      </c>
      <c r="Q11" s="864">
        <v>104432</v>
      </c>
      <c r="R11" s="864">
        <v>35300</v>
      </c>
      <c r="S11" s="1045">
        <f>+R11/Q11</f>
        <v>0.33801899800827334</v>
      </c>
      <c r="T11" s="865"/>
      <c r="U11" s="865"/>
      <c r="V11" s="863"/>
      <c r="W11" s="863"/>
      <c r="X11" s="863"/>
      <c r="Y11" s="863"/>
      <c r="Z11" s="863"/>
      <c r="AA11" s="1045"/>
      <c r="AB11" s="818"/>
    </row>
    <row r="12" spans="1:28" s="154" customFormat="1" ht="12" customHeight="1">
      <c r="A12" s="157"/>
      <c r="B12" s="156" t="s">
        <v>38</v>
      </c>
      <c r="C12" s="825" t="s">
        <v>310</v>
      </c>
      <c r="D12" s="826"/>
      <c r="E12" s="826"/>
      <c r="F12" s="827">
        <v>500</v>
      </c>
      <c r="G12" s="827">
        <v>500</v>
      </c>
      <c r="H12" s="827">
        <v>500</v>
      </c>
      <c r="I12" s="827">
        <v>500</v>
      </c>
      <c r="J12" s="827">
        <v>363</v>
      </c>
      <c r="K12" s="1046">
        <f aca="true" t="shared" si="1" ref="K12:K30">+J12/I12</f>
        <v>0.726</v>
      </c>
      <c r="L12" s="844"/>
      <c r="M12" s="827"/>
      <c r="N12" s="827">
        <v>500</v>
      </c>
      <c r="O12" s="827">
        <v>500</v>
      </c>
      <c r="P12" s="827">
        <v>500</v>
      </c>
      <c r="Q12" s="827">
        <v>500</v>
      </c>
      <c r="R12" s="827">
        <v>363</v>
      </c>
      <c r="S12" s="1046">
        <f aca="true" t="shared" si="2" ref="S12:S30">+R12/Q12</f>
        <v>0.726</v>
      </c>
      <c r="T12" s="829"/>
      <c r="U12" s="829"/>
      <c r="V12" s="826"/>
      <c r="W12" s="826"/>
      <c r="X12" s="826"/>
      <c r="Y12" s="826"/>
      <c r="Z12" s="826"/>
      <c r="AA12" s="1046"/>
      <c r="AB12" s="818"/>
    </row>
    <row r="13" spans="1:28" s="154" customFormat="1" ht="12" customHeight="1" thickBot="1">
      <c r="A13" s="830"/>
      <c r="B13" s="156" t="s">
        <v>49</v>
      </c>
      <c r="C13" s="831" t="s">
        <v>474</v>
      </c>
      <c r="D13" s="832"/>
      <c r="E13" s="833">
        <v>65640</v>
      </c>
      <c r="F13" s="833">
        <f>65640-4400</f>
        <v>61240</v>
      </c>
      <c r="G13" s="833">
        <f>65640-4400</f>
        <v>61240</v>
      </c>
      <c r="H13" s="833">
        <f>65640-4400</f>
        <v>61240</v>
      </c>
      <c r="I13" s="833">
        <v>31240</v>
      </c>
      <c r="J13" s="833">
        <v>30508</v>
      </c>
      <c r="K13" s="1047">
        <f t="shared" si="1"/>
        <v>0.9765685019206146</v>
      </c>
      <c r="L13" s="835"/>
      <c r="M13" s="832">
        <v>65640</v>
      </c>
      <c r="N13" s="833">
        <f>65640-4400</f>
        <v>61240</v>
      </c>
      <c r="O13" s="833">
        <f>65640-4400</f>
        <v>61240</v>
      </c>
      <c r="P13" s="833">
        <f>65640-4400</f>
        <v>61240</v>
      </c>
      <c r="Q13" s="833">
        <v>31240</v>
      </c>
      <c r="R13" s="833">
        <v>30508</v>
      </c>
      <c r="S13" s="1047">
        <f t="shared" si="2"/>
        <v>0.9765685019206146</v>
      </c>
      <c r="T13" s="835"/>
      <c r="U13" s="835"/>
      <c r="V13" s="832"/>
      <c r="W13" s="832"/>
      <c r="X13" s="832"/>
      <c r="Y13" s="832"/>
      <c r="Z13" s="832"/>
      <c r="AA13" s="1047"/>
      <c r="AB13" s="818"/>
    </row>
    <row r="14" spans="1:28" s="160" customFormat="1" ht="12" customHeight="1" hidden="1" thickBot="1">
      <c r="A14" s="161" t="s">
        <v>28</v>
      </c>
      <c r="B14" s="156"/>
      <c r="C14" s="819" t="s">
        <v>115</v>
      </c>
      <c r="D14" s="224"/>
      <c r="E14" s="224"/>
      <c r="F14" s="224"/>
      <c r="G14" s="224"/>
      <c r="H14" s="224"/>
      <c r="I14" s="224"/>
      <c r="J14" s="224"/>
      <c r="K14" s="1048" t="e">
        <f t="shared" si="1"/>
        <v>#DIV/0!</v>
      </c>
      <c r="L14" s="439"/>
      <c r="M14" s="224"/>
      <c r="N14" s="224"/>
      <c r="O14" s="224"/>
      <c r="P14" s="224"/>
      <c r="Q14" s="224"/>
      <c r="R14" s="224"/>
      <c r="S14" s="1048" t="e">
        <f t="shared" si="2"/>
        <v>#DIV/0!</v>
      </c>
      <c r="T14" s="439"/>
      <c r="U14" s="439"/>
      <c r="V14" s="224"/>
      <c r="W14" s="224"/>
      <c r="X14" s="224"/>
      <c r="Y14" s="224"/>
      <c r="Z14" s="224"/>
      <c r="AA14" s="279"/>
      <c r="AB14" s="224"/>
    </row>
    <row r="15" spans="1:28" s="154" customFormat="1" ht="12" customHeight="1" thickBot="1">
      <c r="A15" s="145" t="s">
        <v>28</v>
      </c>
      <c r="B15" s="151"/>
      <c r="C15" s="152" t="s">
        <v>116</v>
      </c>
      <c r="D15" s="214">
        <f aca="true" t="shared" si="3" ref="D15:I15">SUM(D16:D19)</f>
        <v>0</v>
      </c>
      <c r="E15" s="214">
        <f t="shared" si="3"/>
        <v>0</v>
      </c>
      <c r="F15" s="214">
        <f>SUM(F16:F19)</f>
        <v>0</v>
      </c>
      <c r="G15" s="214">
        <f>SUM(G16:G19)</f>
        <v>0</v>
      </c>
      <c r="H15" s="214">
        <f>SUM(H16:H19)</f>
        <v>0</v>
      </c>
      <c r="I15" s="214">
        <f t="shared" si="3"/>
        <v>0</v>
      </c>
      <c r="J15" s="214">
        <f>SUM(J16:J19)</f>
        <v>0</v>
      </c>
      <c r="K15" s="1043"/>
      <c r="L15" s="214">
        <f aca="true" t="shared" si="4" ref="L15:R15">SUM(L16:L19)</f>
        <v>0</v>
      </c>
      <c r="M15" s="214">
        <f t="shared" si="4"/>
        <v>0</v>
      </c>
      <c r="N15" s="214">
        <f t="shared" si="4"/>
        <v>0</v>
      </c>
      <c r="O15" s="214">
        <f t="shared" si="4"/>
        <v>0</v>
      </c>
      <c r="P15" s="214">
        <f t="shared" si="4"/>
        <v>0</v>
      </c>
      <c r="Q15" s="214">
        <f t="shared" si="4"/>
        <v>0</v>
      </c>
      <c r="R15" s="214">
        <f t="shared" si="4"/>
        <v>0</v>
      </c>
      <c r="S15" s="1043"/>
      <c r="T15" s="438"/>
      <c r="U15" s="438"/>
      <c r="V15" s="214"/>
      <c r="W15" s="214"/>
      <c r="X15" s="214"/>
      <c r="Y15" s="214"/>
      <c r="Z15" s="214"/>
      <c r="AA15" s="153"/>
      <c r="AB15" s="214"/>
    </row>
    <row r="16" spans="1:28" s="160" customFormat="1" ht="12" customHeight="1">
      <c r="A16" s="157"/>
      <c r="B16" s="156" t="s">
        <v>39</v>
      </c>
      <c r="C16" s="162" t="s">
        <v>72</v>
      </c>
      <c r="D16" s="215"/>
      <c r="E16" s="215"/>
      <c r="F16" s="215"/>
      <c r="G16" s="215"/>
      <c r="H16" s="215"/>
      <c r="I16" s="215"/>
      <c r="J16" s="215"/>
      <c r="K16" s="1049"/>
      <c r="L16" s="215"/>
      <c r="M16" s="215"/>
      <c r="N16" s="215"/>
      <c r="O16" s="215"/>
      <c r="P16" s="215"/>
      <c r="Q16" s="215"/>
      <c r="R16" s="215"/>
      <c r="S16" s="1049"/>
      <c r="T16" s="440"/>
      <c r="U16" s="440"/>
      <c r="V16" s="215"/>
      <c r="W16" s="215"/>
      <c r="X16" s="215"/>
      <c r="Y16" s="215"/>
      <c r="Z16" s="215"/>
      <c r="AA16" s="159"/>
      <c r="AB16" s="215"/>
    </row>
    <row r="17" spans="1:28" s="160" customFormat="1" ht="12" customHeight="1">
      <c r="A17" s="157"/>
      <c r="B17" s="156" t="s">
        <v>40</v>
      </c>
      <c r="C17" s="158" t="s">
        <v>119</v>
      </c>
      <c r="D17" s="215"/>
      <c r="E17" s="215"/>
      <c r="F17" s="215"/>
      <c r="G17" s="215"/>
      <c r="H17" s="215"/>
      <c r="I17" s="215"/>
      <c r="J17" s="215"/>
      <c r="K17" s="1049"/>
      <c r="L17" s="215"/>
      <c r="M17" s="215"/>
      <c r="N17" s="215"/>
      <c r="O17" s="215"/>
      <c r="P17" s="215"/>
      <c r="Q17" s="215"/>
      <c r="R17" s="215"/>
      <c r="S17" s="1049"/>
      <c r="T17" s="440"/>
      <c r="U17" s="440"/>
      <c r="V17" s="215"/>
      <c r="W17" s="215"/>
      <c r="X17" s="215"/>
      <c r="Y17" s="215"/>
      <c r="Z17" s="215"/>
      <c r="AA17" s="159"/>
      <c r="AB17" s="215"/>
    </row>
    <row r="18" spans="1:28" s="160" customFormat="1" ht="12" customHeight="1">
      <c r="A18" s="157"/>
      <c r="B18" s="156" t="s">
        <v>41</v>
      </c>
      <c r="C18" s="158" t="s">
        <v>73</v>
      </c>
      <c r="D18" s="215"/>
      <c r="E18" s="215"/>
      <c r="F18" s="215"/>
      <c r="G18" s="215"/>
      <c r="H18" s="215"/>
      <c r="I18" s="215"/>
      <c r="J18" s="215"/>
      <c r="K18" s="1049"/>
      <c r="L18" s="215"/>
      <c r="M18" s="215"/>
      <c r="N18" s="215"/>
      <c r="O18" s="215"/>
      <c r="P18" s="215"/>
      <c r="Q18" s="215"/>
      <c r="R18" s="215"/>
      <c r="S18" s="1049"/>
      <c r="T18" s="440"/>
      <c r="U18" s="440"/>
      <c r="V18" s="215"/>
      <c r="W18" s="215"/>
      <c r="X18" s="215"/>
      <c r="Y18" s="215"/>
      <c r="Z18" s="215"/>
      <c r="AA18" s="159"/>
      <c r="AB18" s="215"/>
    </row>
    <row r="19" spans="1:28" s="160" customFormat="1" ht="12" customHeight="1" thickBot="1">
      <c r="A19" s="157"/>
      <c r="B19" s="156" t="s">
        <v>271</v>
      </c>
      <c r="C19" s="158" t="s">
        <v>119</v>
      </c>
      <c r="D19" s="215"/>
      <c r="E19" s="215"/>
      <c r="F19" s="215"/>
      <c r="G19" s="215"/>
      <c r="H19" s="215"/>
      <c r="I19" s="215"/>
      <c r="J19" s="215"/>
      <c r="K19" s="1049"/>
      <c r="L19" s="215"/>
      <c r="M19" s="215"/>
      <c r="N19" s="215"/>
      <c r="O19" s="215"/>
      <c r="P19" s="215"/>
      <c r="Q19" s="215"/>
      <c r="R19" s="215"/>
      <c r="S19" s="1049"/>
      <c r="T19" s="440"/>
      <c r="U19" s="440"/>
      <c r="V19" s="215"/>
      <c r="W19" s="215"/>
      <c r="X19" s="215"/>
      <c r="Y19" s="215"/>
      <c r="Z19" s="215"/>
      <c r="AA19" s="159"/>
      <c r="AB19" s="215"/>
    </row>
    <row r="20" spans="1:28" s="160" customFormat="1" ht="12" customHeight="1" thickBot="1">
      <c r="A20" s="163" t="s">
        <v>10</v>
      </c>
      <c r="B20" s="164"/>
      <c r="C20" s="164" t="s">
        <v>122</v>
      </c>
      <c r="D20" s="214">
        <f>SUM(D21:D22)</f>
        <v>0</v>
      </c>
      <c r="E20" s="214">
        <f>SUM(E21:E22)</f>
        <v>0</v>
      </c>
      <c r="F20" s="214">
        <f>SUM(F21:F22)</f>
        <v>0</v>
      </c>
      <c r="G20" s="214">
        <f>SUM(G21:G22)</f>
        <v>0</v>
      </c>
      <c r="H20" s="214">
        <f>SUM(H21:H22)</f>
        <v>0</v>
      </c>
      <c r="I20" s="214"/>
      <c r="J20" s="214"/>
      <c r="K20" s="1043"/>
      <c r="L20" s="214">
        <f>SUM(L21:L22)</f>
        <v>0</v>
      </c>
      <c r="M20" s="214">
        <f>SUM(M21:M22)</f>
        <v>0</v>
      </c>
      <c r="N20" s="214">
        <f>SUM(N21:N22)</f>
        <v>0</v>
      </c>
      <c r="O20" s="214">
        <f>SUM(O21:O22)</f>
        <v>0</v>
      </c>
      <c r="P20" s="214">
        <f>SUM(P21:P22)</f>
        <v>0</v>
      </c>
      <c r="Q20" s="214"/>
      <c r="R20" s="214"/>
      <c r="S20" s="1043"/>
      <c r="T20" s="438"/>
      <c r="U20" s="438"/>
      <c r="V20" s="214"/>
      <c r="W20" s="214"/>
      <c r="X20" s="214"/>
      <c r="Y20" s="214"/>
      <c r="Z20" s="214"/>
      <c r="AA20" s="153"/>
      <c r="AB20" s="214"/>
    </row>
    <row r="21" spans="1:28" s="154" customFormat="1" ht="12" customHeight="1">
      <c r="A21" s="165"/>
      <c r="B21" s="166" t="s">
        <v>42</v>
      </c>
      <c r="C21" s="167" t="s">
        <v>124</v>
      </c>
      <c r="D21" s="216"/>
      <c r="E21" s="216"/>
      <c r="F21" s="216"/>
      <c r="G21" s="216"/>
      <c r="H21" s="216"/>
      <c r="I21" s="216"/>
      <c r="J21" s="216"/>
      <c r="K21" s="1050"/>
      <c r="L21" s="216"/>
      <c r="M21" s="216"/>
      <c r="N21" s="216"/>
      <c r="O21" s="216"/>
      <c r="P21" s="216"/>
      <c r="Q21" s="216"/>
      <c r="R21" s="216"/>
      <c r="S21" s="1050"/>
      <c r="T21" s="441"/>
      <c r="U21" s="441"/>
      <c r="V21" s="216"/>
      <c r="W21" s="216"/>
      <c r="X21" s="216"/>
      <c r="Y21" s="216"/>
      <c r="Z21" s="216"/>
      <c r="AA21" s="168"/>
      <c r="AB21" s="216"/>
    </row>
    <row r="22" spans="1:28" s="154" customFormat="1" ht="12" customHeight="1" thickBot="1">
      <c r="A22" s="169"/>
      <c r="B22" s="170" t="s">
        <v>43</v>
      </c>
      <c r="C22" s="171" t="s">
        <v>126</v>
      </c>
      <c r="D22" s="217"/>
      <c r="E22" s="217"/>
      <c r="F22" s="217"/>
      <c r="G22" s="217"/>
      <c r="H22" s="217"/>
      <c r="I22" s="217"/>
      <c r="J22" s="217"/>
      <c r="K22" s="1051"/>
      <c r="L22" s="217"/>
      <c r="M22" s="217"/>
      <c r="N22" s="217"/>
      <c r="O22" s="217"/>
      <c r="P22" s="217"/>
      <c r="Q22" s="217"/>
      <c r="R22" s="217"/>
      <c r="S22" s="1051"/>
      <c r="T22" s="442"/>
      <c r="U22" s="442"/>
      <c r="V22" s="217"/>
      <c r="W22" s="217"/>
      <c r="X22" s="217"/>
      <c r="Y22" s="217"/>
      <c r="Z22" s="217"/>
      <c r="AA22" s="172"/>
      <c r="AB22" s="217"/>
    </row>
    <row r="23" spans="1:28" s="154" customFormat="1" ht="12" customHeight="1" hidden="1" thickBot="1">
      <c r="A23" s="163" t="s">
        <v>11</v>
      </c>
      <c r="B23" s="151"/>
      <c r="D23" s="218"/>
      <c r="E23" s="218"/>
      <c r="F23" s="218"/>
      <c r="G23" s="218"/>
      <c r="H23" s="218"/>
      <c r="I23" s="218"/>
      <c r="J23" s="218"/>
      <c r="K23" s="1052" t="e">
        <f t="shared" si="1"/>
        <v>#DIV/0!</v>
      </c>
      <c r="L23" s="218"/>
      <c r="M23" s="218"/>
      <c r="N23" s="218"/>
      <c r="O23" s="218"/>
      <c r="P23" s="218"/>
      <c r="Q23" s="218"/>
      <c r="R23" s="218"/>
      <c r="S23" s="1052" t="e">
        <f t="shared" si="2"/>
        <v>#DIV/0!</v>
      </c>
      <c r="T23" s="443"/>
      <c r="U23" s="443"/>
      <c r="V23" s="218"/>
      <c r="W23" s="218"/>
      <c r="X23" s="218"/>
      <c r="Y23" s="218"/>
      <c r="Z23" s="218"/>
      <c r="AA23" s="173"/>
      <c r="AB23" s="218"/>
    </row>
    <row r="24" spans="1:28" s="154" customFormat="1" ht="12" customHeight="1" thickBot="1">
      <c r="A24" s="145" t="s">
        <v>11</v>
      </c>
      <c r="B24" s="174"/>
      <c r="C24" s="164" t="s">
        <v>128</v>
      </c>
      <c r="D24" s="273">
        <f aca="true" t="shared" si="5" ref="D24:J24">D9+D14+D15+D20+D23</f>
        <v>0</v>
      </c>
      <c r="E24" s="273">
        <f t="shared" si="5"/>
        <v>65640</v>
      </c>
      <c r="F24" s="273">
        <f t="shared" si="5"/>
        <v>78540</v>
      </c>
      <c r="G24" s="273">
        <f t="shared" si="5"/>
        <v>78540</v>
      </c>
      <c r="H24" s="273">
        <f t="shared" si="5"/>
        <v>151672</v>
      </c>
      <c r="I24" s="273">
        <f t="shared" si="5"/>
        <v>140172</v>
      </c>
      <c r="J24" s="273">
        <f t="shared" si="5"/>
        <v>70171</v>
      </c>
      <c r="K24" s="1053">
        <f t="shared" si="1"/>
        <v>0.500606397854065</v>
      </c>
      <c r="L24" s="273">
        <f aca="true" t="shared" si="6" ref="L24:R24">L9+L14+L15+L20+L23</f>
        <v>0</v>
      </c>
      <c r="M24" s="273">
        <f t="shared" si="6"/>
        <v>65640</v>
      </c>
      <c r="N24" s="273">
        <f t="shared" si="6"/>
        <v>78540</v>
      </c>
      <c r="O24" s="273">
        <f t="shared" si="6"/>
        <v>78540</v>
      </c>
      <c r="P24" s="273">
        <f t="shared" si="6"/>
        <v>151672</v>
      </c>
      <c r="Q24" s="273">
        <f t="shared" si="6"/>
        <v>140172</v>
      </c>
      <c r="R24" s="273">
        <f t="shared" si="6"/>
        <v>70171</v>
      </c>
      <c r="S24" s="1053">
        <f t="shared" si="2"/>
        <v>0.500606397854065</v>
      </c>
      <c r="T24" s="438"/>
      <c r="U24" s="438"/>
      <c r="V24" s="214"/>
      <c r="W24" s="214"/>
      <c r="X24" s="214"/>
      <c r="Y24" s="214"/>
      <c r="Z24" s="214"/>
      <c r="AA24" s="153"/>
      <c r="AB24" s="214"/>
    </row>
    <row r="25" spans="1:28" s="160" customFormat="1" ht="12" customHeight="1" thickBot="1">
      <c r="A25" s="175" t="s">
        <v>12</v>
      </c>
      <c r="B25" s="176"/>
      <c r="C25" s="177" t="s">
        <v>129</v>
      </c>
      <c r="D25" s="274">
        <f aca="true" t="shared" si="7" ref="D25:I25">SUM(D26:D28)</f>
        <v>93897582</v>
      </c>
      <c r="E25" s="274">
        <f t="shared" si="7"/>
        <v>93831942</v>
      </c>
      <c r="F25" s="274">
        <f t="shared" si="7"/>
        <v>93831942</v>
      </c>
      <c r="G25" s="274">
        <f t="shared" si="7"/>
        <v>93831942</v>
      </c>
      <c r="H25" s="274">
        <f t="shared" si="7"/>
        <v>93831942</v>
      </c>
      <c r="I25" s="274">
        <f t="shared" si="7"/>
        <v>87246993</v>
      </c>
      <c r="J25" s="274">
        <f>SUM(J26:J28)</f>
        <v>87246993</v>
      </c>
      <c r="K25" s="1054">
        <f t="shared" si="1"/>
        <v>1</v>
      </c>
      <c r="L25" s="274">
        <f aca="true" t="shared" si="8" ref="L25:R25">SUM(L26:L28)</f>
        <v>93897582</v>
      </c>
      <c r="M25" s="274">
        <f t="shared" si="8"/>
        <v>93831942</v>
      </c>
      <c r="N25" s="274">
        <f t="shared" si="8"/>
        <v>93831942</v>
      </c>
      <c r="O25" s="274">
        <f t="shared" si="8"/>
        <v>93831942</v>
      </c>
      <c r="P25" s="274">
        <f t="shared" si="8"/>
        <v>93831942</v>
      </c>
      <c r="Q25" s="274">
        <f t="shared" si="8"/>
        <v>87246993</v>
      </c>
      <c r="R25" s="274">
        <f t="shared" si="8"/>
        <v>87246993</v>
      </c>
      <c r="S25" s="1054">
        <f t="shared" si="2"/>
        <v>1</v>
      </c>
      <c r="T25" s="274">
        <f aca="true" t="shared" si="9" ref="T25:Y25">SUM(T26:T28)</f>
        <v>5610894</v>
      </c>
      <c r="U25" s="274">
        <f t="shared" si="9"/>
        <v>5610894</v>
      </c>
      <c r="V25" s="274">
        <f t="shared" si="9"/>
        <v>5610894</v>
      </c>
      <c r="W25" s="274">
        <f t="shared" si="9"/>
        <v>5610894</v>
      </c>
      <c r="X25" s="274">
        <f t="shared" si="9"/>
        <v>5610894</v>
      </c>
      <c r="Y25" s="274">
        <f t="shared" si="9"/>
        <v>5610894</v>
      </c>
      <c r="Z25" s="274">
        <f>SUM(Z26:Z28)</f>
        <v>5610894</v>
      </c>
      <c r="AA25" s="1054">
        <f aca="true" t="shared" si="10" ref="AA25:AA30">+Z25/Y25</f>
        <v>1</v>
      </c>
      <c r="AB25" s="214"/>
    </row>
    <row r="26" spans="1:28" s="160" customFormat="1" ht="15" customHeight="1" thickBot="1">
      <c r="A26" s="155"/>
      <c r="B26" s="178" t="s">
        <v>44</v>
      </c>
      <c r="C26" s="167" t="s">
        <v>131</v>
      </c>
      <c r="D26" s="216">
        <v>578764</v>
      </c>
      <c r="E26" s="216">
        <f>578764-65640</f>
        <v>513124</v>
      </c>
      <c r="F26" s="216">
        <f>578764-65640</f>
        <v>513124</v>
      </c>
      <c r="G26" s="216">
        <f>578764-65640</f>
        <v>513124</v>
      </c>
      <c r="H26" s="216">
        <f>578764-65640</f>
        <v>513124</v>
      </c>
      <c r="I26" s="216">
        <v>513124</v>
      </c>
      <c r="J26" s="216">
        <v>513124</v>
      </c>
      <c r="K26" s="1050">
        <f t="shared" si="1"/>
        <v>1</v>
      </c>
      <c r="L26" s="216">
        <v>578764</v>
      </c>
      <c r="M26" s="216">
        <v>513124</v>
      </c>
      <c r="N26" s="216">
        <v>513124</v>
      </c>
      <c r="O26" s="216">
        <v>513124</v>
      </c>
      <c r="P26" s="216">
        <f>578764-65640</f>
        <v>513124</v>
      </c>
      <c r="Q26" s="216">
        <v>513124</v>
      </c>
      <c r="R26" s="216">
        <v>513124</v>
      </c>
      <c r="S26" s="1050">
        <f t="shared" si="2"/>
        <v>1</v>
      </c>
      <c r="T26" s="216"/>
      <c r="U26" s="216"/>
      <c r="V26" s="216"/>
      <c r="W26" s="216"/>
      <c r="X26" s="216"/>
      <c r="Y26" s="216"/>
      <c r="Z26" s="216"/>
      <c r="AA26" s="1050"/>
      <c r="AB26" s="448"/>
    </row>
    <row r="27" spans="1:28" s="160" customFormat="1" ht="15" customHeight="1">
      <c r="A27" s="570"/>
      <c r="B27" s="571" t="s">
        <v>45</v>
      </c>
      <c r="C27" s="468" t="s">
        <v>448</v>
      </c>
      <c r="D27" s="573">
        <v>93318818</v>
      </c>
      <c r="E27" s="573">
        <v>93318818</v>
      </c>
      <c r="F27" s="573">
        <v>93318818</v>
      </c>
      <c r="G27" s="573">
        <v>93318818</v>
      </c>
      <c r="H27" s="573">
        <v>93318818</v>
      </c>
      <c r="I27" s="573">
        <v>86733869</v>
      </c>
      <c r="J27" s="573">
        <v>86733869</v>
      </c>
      <c r="K27" s="1055">
        <f t="shared" si="1"/>
        <v>1</v>
      </c>
      <c r="L27" s="573">
        <v>93318818</v>
      </c>
      <c r="M27" s="573">
        <v>93318818</v>
      </c>
      <c r="N27" s="573">
        <v>93318818</v>
      </c>
      <c r="O27" s="573">
        <v>93318818</v>
      </c>
      <c r="P27" s="573">
        <v>93318818</v>
      </c>
      <c r="Q27" s="573">
        <v>86733869</v>
      </c>
      <c r="R27" s="573">
        <v>86733869</v>
      </c>
      <c r="S27" s="1055">
        <f t="shared" si="2"/>
        <v>1</v>
      </c>
      <c r="T27" s="574">
        <v>5610894</v>
      </c>
      <c r="U27" s="574">
        <v>5610894</v>
      </c>
      <c r="V27" s="574">
        <v>5610894</v>
      </c>
      <c r="W27" s="574">
        <v>5610894</v>
      </c>
      <c r="X27" s="574">
        <v>5610894</v>
      </c>
      <c r="Y27" s="574">
        <v>5610894</v>
      </c>
      <c r="Z27" s="574">
        <v>5610894</v>
      </c>
      <c r="AA27" s="1055">
        <f t="shared" si="10"/>
        <v>1</v>
      </c>
      <c r="AB27" s="575"/>
    </row>
    <row r="28" spans="1:28" s="160" customFormat="1" ht="15" customHeight="1" thickBot="1">
      <c r="A28" s="179"/>
      <c r="B28" s="180" t="s">
        <v>71</v>
      </c>
      <c r="C28" s="181" t="s">
        <v>133</v>
      </c>
      <c r="D28" s="220"/>
      <c r="E28" s="220"/>
      <c r="F28" s="220"/>
      <c r="G28" s="220"/>
      <c r="H28" s="220"/>
      <c r="I28" s="220"/>
      <c r="J28" s="220"/>
      <c r="K28" s="1056"/>
      <c r="L28" s="220"/>
      <c r="M28" s="220"/>
      <c r="N28" s="220"/>
      <c r="O28" s="220"/>
      <c r="P28" s="220"/>
      <c r="Q28" s="220"/>
      <c r="R28" s="220"/>
      <c r="S28" s="1056"/>
      <c r="T28" s="445"/>
      <c r="U28" s="445"/>
      <c r="V28" s="445"/>
      <c r="W28" s="445"/>
      <c r="X28" s="445"/>
      <c r="Y28" s="445"/>
      <c r="Z28" s="445"/>
      <c r="AA28" s="1056"/>
      <c r="AB28" s="220"/>
    </row>
    <row r="29" spans="1:28" ht="13.5" hidden="1" thickBot="1">
      <c r="A29" s="183" t="s">
        <v>13</v>
      </c>
      <c r="B29" s="184"/>
      <c r="C29" s="185" t="s">
        <v>134</v>
      </c>
      <c r="D29" s="270"/>
      <c r="E29" s="270"/>
      <c r="F29" s="270"/>
      <c r="G29" s="270"/>
      <c r="H29" s="270"/>
      <c r="I29" s="270"/>
      <c r="J29" s="270"/>
      <c r="K29" s="1057" t="e">
        <f t="shared" si="1"/>
        <v>#DIV/0!</v>
      </c>
      <c r="L29" s="270"/>
      <c r="M29" s="270"/>
      <c r="N29" s="270"/>
      <c r="O29" s="270"/>
      <c r="P29" s="270"/>
      <c r="Q29" s="270"/>
      <c r="R29" s="270"/>
      <c r="S29" s="1057" t="e">
        <f t="shared" si="2"/>
        <v>#DIV/0!</v>
      </c>
      <c r="T29" s="443"/>
      <c r="U29" s="443"/>
      <c r="V29" s="443"/>
      <c r="W29" s="443"/>
      <c r="X29" s="443"/>
      <c r="Y29" s="443"/>
      <c r="Z29" s="443"/>
      <c r="AA29" s="1057" t="e">
        <f t="shared" si="10"/>
        <v>#DIV/0!</v>
      </c>
      <c r="AB29" s="218"/>
    </row>
    <row r="30" spans="1:28" s="148" customFormat="1" ht="16.5" customHeight="1" thickBot="1">
      <c r="A30" s="183" t="s">
        <v>13</v>
      </c>
      <c r="B30" s="186"/>
      <c r="C30" s="187" t="s">
        <v>274</v>
      </c>
      <c r="D30" s="276">
        <f aca="true" t="shared" si="11" ref="D30:I30">D24+D29+D25</f>
        <v>93897582</v>
      </c>
      <c r="E30" s="276">
        <f t="shared" si="11"/>
        <v>93897582</v>
      </c>
      <c r="F30" s="276">
        <f t="shared" si="11"/>
        <v>93910482</v>
      </c>
      <c r="G30" s="276">
        <f t="shared" si="11"/>
        <v>93910482</v>
      </c>
      <c r="H30" s="276">
        <f t="shared" si="11"/>
        <v>93983614</v>
      </c>
      <c r="I30" s="276">
        <f t="shared" si="11"/>
        <v>87387165</v>
      </c>
      <c r="J30" s="276">
        <f>J24+J29+J25</f>
        <v>87317164</v>
      </c>
      <c r="K30" s="1058">
        <f t="shared" si="1"/>
        <v>0.9991989555903318</v>
      </c>
      <c r="L30" s="276">
        <f aca="true" t="shared" si="12" ref="L30:R30">L24+L29+L25</f>
        <v>93897582</v>
      </c>
      <c r="M30" s="276">
        <f t="shared" si="12"/>
        <v>93897582</v>
      </c>
      <c r="N30" s="276">
        <f t="shared" si="12"/>
        <v>93910482</v>
      </c>
      <c r="O30" s="276">
        <f t="shared" si="12"/>
        <v>93910482</v>
      </c>
      <c r="P30" s="276">
        <f t="shared" si="12"/>
        <v>93983614</v>
      </c>
      <c r="Q30" s="276">
        <f t="shared" si="12"/>
        <v>87387165</v>
      </c>
      <c r="R30" s="276">
        <f t="shared" si="12"/>
        <v>87317164</v>
      </c>
      <c r="S30" s="1058">
        <f t="shared" si="2"/>
        <v>0.9991989555903318</v>
      </c>
      <c r="T30" s="276">
        <f aca="true" t="shared" si="13" ref="T30:Y30">T24+T29+T25</f>
        <v>5610894</v>
      </c>
      <c r="U30" s="276">
        <f t="shared" si="13"/>
        <v>5610894</v>
      </c>
      <c r="V30" s="276">
        <f t="shared" si="13"/>
        <v>5610894</v>
      </c>
      <c r="W30" s="276">
        <f t="shared" si="13"/>
        <v>5610894</v>
      </c>
      <c r="X30" s="276">
        <f t="shared" si="13"/>
        <v>5610894</v>
      </c>
      <c r="Y30" s="276">
        <f t="shared" si="13"/>
        <v>5610894</v>
      </c>
      <c r="Z30" s="276">
        <f>Z24+Z29+Z25</f>
        <v>5610894</v>
      </c>
      <c r="AA30" s="1058">
        <f t="shared" si="10"/>
        <v>1</v>
      </c>
      <c r="AB30" s="221"/>
    </row>
    <row r="31" spans="1:21" s="192" customFormat="1" ht="12" customHeight="1">
      <c r="A31" s="189"/>
      <c r="B31" s="189"/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</row>
    <row r="32" spans="1:26" ht="12" customHeight="1" thickBot="1">
      <c r="A32" s="193"/>
      <c r="B32" s="194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Z32" s="1766"/>
    </row>
    <row r="33" spans="1:27" ht="12" customHeight="1" thickBot="1">
      <c r="A33" s="196"/>
      <c r="B33" s="197"/>
      <c r="C33" s="198" t="s">
        <v>136</v>
      </c>
      <c r="D33" s="212"/>
      <c r="E33" s="212"/>
      <c r="F33" s="212"/>
      <c r="G33" s="212"/>
      <c r="H33" s="212"/>
      <c r="I33" s="212"/>
      <c r="J33" s="212"/>
      <c r="K33" s="212"/>
      <c r="L33" s="221"/>
      <c r="M33" s="212"/>
      <c r="N33" s="212"/>
      <c r="O33" s="212"/>
      <c r="P33" s="212"/>
      <c r="Q33" s="212"/>
      <c r="R33" s="212"/>
      <c r="S33" s="212"/>
      <c r="T33" s="446"/>
      <c r="U33" s="446"/>
      <c r="V33" s="221"/>
      <c r="W33" s="221"/>
      <c r="X33" s="221"/>
      <c r="Y33" s="781"/>
      <c r="Z33" s="206"/>
      <c r="AA33" s="188"/>
    </row>
    <row r="34" spans="1:28" ht="12" customHeight="1" thickBot="1">
      <c r="A34" s="163" t="s">
        <v>27</v>
      </c>
      <c r="B34" s="199"/>
      <c r="C34" s="449" t="s">
        <v>137</v>
      </c>
      <c r="D34" s="438">
        <f aca="true" t="shared" si="14" ref="D34:I34">SUM(D35:D39)</f>
        <v>93008582</v>
      </c>
      <c r="E34" s="438">
        <f t="shared" si="14"/>
        <v>93008582</v>
      </c>
      <c r="F34" s="438">
        <f t="shared" si="14"/>
        <v>93021482</v>
      </c>
      <c r="G34" s="438">
        <f t="shared" si="14"/>
        <v>93021482</v>
      </c>
      <c r="H34" s="438">
        <f t="shared" si="14"/>
        <v>93094614</v>
      </c>
      <c r="I34" s="438">
        <f t="shared" si="14"/>
        <v>87160958</v>
      </c>
      <c r="J34" s="438">
        <f>SUM(J35:J39)</f>
        <v>86103767</v>
      </c>
      <c r="K34" s="370">
        <f>+J34/I34</f>
        <v>0.9878708194097637</v>
      </c>
      <c r="L34" s="438">
        <f aca="true" t="shared" si="15" ref="L34:R34">SUM(L35:L39)</f>
        <v>93008582</v>
      </c>
      <c r="M34" s="438">
        <f t="shared" si="15"/>
        <v>93008582</v>
      </c>
      <c r="N34" s="438">
        <f t="shared" si="15"/>
        <v>93021482</v>
      </c>
      <c r="O34" s="438">
        <f t="shared" si="15"/>
        <v>93021482</v>
      </c>
      <c r="P34" s="438">
        <f t="shared" si="15"/>
        <v>93094614</v>
      </c>
      <c r="Q34" s="438">
        <f t="shared" si="15"/>
        <v>87160958</v>
      </c>
      <c r="R34" s="438">
        <f t="shared" si="15"/>
        <v>86103767</v>
      </c>
      <c r="S34" s="370">
        <f>+R34/Q34</f>
        <v>0.9878708194097637</v>
      </c>
      <c r="T34" s="438">
        <f aca="true" t="shared" si="16" ref="T34:Y34">SUM(T35:T39)</f>
        <v>5610894</v>
      </c>
      <c r="U34" s="438">
        <f t="shared" si="16"/>
        <v>5610894</v>
      </c>
      <c r="V34" s="438">
        <f t="shared" si="16"/>
        <v>5610894</v>
      </c>
      <c r="W34" s="438">
        <f t="shared" si="16"/>
        <v>5610894</v>
      </c>
      <c r="X34" s="438">
        <f t="shared" si="16"/>
        <v>5610894</v>
      </c>
      <c r="Y34" s="438">
        <f t="shared" si="16"/>
        <v>5610894</v>
      </c>
      <c r="Z34" s="438">
        <f>SUM(Z35:Z39)</f>
        <v>5610894</v>
      </c>
      <c r="AA34" s="370">
        <f>+Z34/Y34</f>
        <v>1</v>
      </c>
      <c r="AB34" s="153">
        <f>SUM(AB35:AB39)</f>
        <v>0</v>
      </c>
    </row>
    <row r="35" spans="1:28" ht="12" customHeight="1">
      <c r="A35" s="200"/>
      <c r="B35" s="201" t="s">
        <v>111</v>
      </c>
      <c r="C35" s="450" t="s">
        <v>138</v>
      </c>
      <c r="D35" s="456">
        <v>59771486</v>
      </c>
      <c r="E35" s="456">
        <v>59771486</v>
      </c>
      <c r="F35" s="456">
        <v>59771486</v>
      </c>
      <c r="G35" s="456">
        <v>59771486</v>
      </c>
      <c r="H35" s="456">
        <f>-142818+59771486</f>
        <v>59628668</v>
      </c>
      <c r="I35" s="456">
        <v>57770252</v>
      </c>
      <c r="J35" s="456">
        <v>57486048</v>
      </c>
      <c r="K35" s="694">
        <f>+J35/I35</f>
        <v>0.9950804438242714</v>
      </c>
      <c r="L35" s="456">
        <v>59771486</v>
      </c>
      <c r="M35" s="456">
        <v>59771486</v>
      </c>
      <c r="N35" s="456">
        <v>59771486</v>
      </c>
      <c r="O35" s="456">
        <v>59771486</v>
      </c>
      <c r="P35" s="456">
        <f>-142818+59771486</f>
        <v>59628668</v>
      </c>
      <c r="Q35" s="456">
        <v>57770252</v>
      </c>
      <c r="R35" s="456">
        <v>57486048</v>
      </c>
      <c r="S35" s="694">
        <f>+R35/Q35</f>
        <v>0.9950804438242714</v>
      </c>
      <c r="T35" s="440">
        <v>3626473</v>
      </c>
      <c r="U35" s="440">
        <v>3626473</v>
      </c>
      <c r="V35" s="440">
        <v>3626473</v>
      </c>
      <c r="W35" s="440">
        <v>3626473</v>
      </c>
      <c r="X35" s="440">
        <v>3626473</v>
      </c>
      <c r="Y35" s="440">
        <v>3626473</v>
      </c>
      <c r="Z35" s="457">
        <v>3626473</v>
      </c>
      <c r="AA35" s="694">
        <f>+Z35/Y35</f>
        <v>1</v>
      </c>
      <c r="AB35" s="159"/>
    </row>
    <row r="36" spans="1:28" ht="12" customHeight="1">
      <c r="A36" s="202"/>
      <c r="B36" s="203" t="s">
        <v>112</v>
      </c>
      <c r="C36" s="451" t="s">
        <v>51</v>
      </c>
      <c r="D36" s="457">
        <v>13708828</v>
      </c>
      <c r="E36" s="457">
        <v>13708828</v>
      </c>
      <c r="F36" s="457">
        <v>13708828</v>
      </c>
      <c r="G36" s="457">
        <v>13708828</v>
      </c>
      <c r="H36" s="457">
        <v>13708828</v>
      </c>
      <c r="I36" s="457">
        <v>13008828</v>
      </c>
      <c r="J36" s="457">
        <v>12931333</v>
      </c>
      <c r="K36" s="694">
        <f>+J36/I36</f>
        <v>0.9940428914887643</v>
      </c>
      <c r="L36" s="457">
        <v>13708828</v>
      </c>
      <c r="M36" s="457">
        <v>13708828</v>
      </c>
      <c r="N36" s="457">
        <v>13708828</v>
      </c>
      <c r="O36" s="457">
        <v>13708828</v>
      </c>
      <c r="P36" s="457">
        <v>13708828</v>
      </c>
      <c r="Q36" s="457">
        <v>13008828</v>
      </c>
      <c r="R36" s="457">
        <v>12931333</v>
      </c>
      <c r="S36" s="694">
        <f>+R36/Q36</f>
        <v>0.9940428914887643</v>
      </c>
      <c r="T36" s="440">
        <v>799596</v>
      </c>
      <c r="U36" s="440">
        <v>799596</v>
      </c>
      <c r="V36" s="440">
        <v>799596</v>
      </c>
      <c r="W36" s="440">
        <v>799596</v>
      </c>
      <c r="X36" s="440">
        <v>799596</v>
      </c>
      <c r="Y36" s="440">
        <v>799596</v>
      </c>
      <c r="Z36" s="457">
        <v>799596</v>
      </c>
      <c r="AA36" s="694">
        <f>+Z36/Y36</f>
        <v>1</v>
      </c>
      <c r="AB36" s="159"/>
    </row>
    <row r="37" spans="1:28" ht="12" customHeight="1">
      <c r="A37" s="202"/>
      <c r="B37" s="203" t="s">
        <v>113</v>
      </c>
      <c r="C37" s="451" t="s">
        <v>139</v>
      </c>
      <c r="D37" s="457">
        <v>19528268</v>
      </c>
      <c r="E37" s="457">
        <v>19528268</v>
      </c>
      <c r="F37" s="457">
        <f>19528268+12900</f>
        <v>19541168</v>
      </c>
      <c r="G37" s="457">
        <f>19528268+12900</f>
        <v>19541168</v>
      </c>
      <c r="H37" s="457">
        <f>19528268+12900+215950</f>
        <v>19757118</v>
      </c>
      <c r="I37" s="457">
        <v>16381878</v>
      </c>
      <c r="J37" s="457">
        <v>15686386</v>
      </c>
      <c r="K37" s="694">
        <f>+J37/I37</f>
        <v>0.9575450384870404</v>
      </c>
      <c r="L37" s="457">
        <v>19528268</v>
      </c>
      <c r="M37" s="457">
        <v>19528268</v>
      </c>
      <c r="N37" s="457">
        <f>19528268+12900</f>
        <v>19541168</v>
      </c>
      <c r="O37" s="457">
        <f>19528268+12900</f>
        <v>19541168</v>
      </c>
      <c r="P37" s="457">
        <f>19528268+12900+215950</f>
        <v>19757118</v>
      </c>
      <c r="Q37" s="457">
        <v>16381878</v>
      </c>
      <c r="R37" s="457">
        <v>15686386</v>
      </c>
      <c r="S37" s="694">
        <f>+R37/Q37</f>
        <v>0.9575450384870404</v>
      </c>
      <c r="T37" s="440">
        <v>1184825</v>
      </c>
      <c r="U37" s="440">
        <v>1184825</v>
      </c>
      <c r="V37" s="440">
        <v>1184825</v>
      </c>
      <c r="W37" s="440">
        <v>1184825</v>
      </c>
      <c r="X37" s="440">
        <v>1184825</v>
      </c>
      <c r="Y37" s="440">
        <v>1184825</v>
      </c>
      <c r="Z37" s="457">
        <v>1184825</v>
      </c>
      <c r="AA37" s="694">
        <f>+Z37/Y37</f>
        <v>1</v>
      </c>
      <c r="AB37" s="159"/>
    </row>
    <row r="38" spans="1:28" s="192" customFormat="1" ht="12" customHeight="1">
      <c r="A38" s="202"/>
      <c r="B38" s="203" t="s">
        <v>114</v>
      </c>
      <c r="C38" s="451" t="s">
        <v>81</v>
      </c>
      <c r="D38" s="457"/>
      <c r="E38" s="457"/>
      <c r="F38" s="457"/>
      <c r="G38" s="457"/>
      <c r="H38" s="457"/>
      <c r="I38" s="457"/>
      <c r="J38" s="457"/>
      <c r="K38" s="694"/>
      <c r="L38" s="457"/>
      <c r="M38" s="457"/>
      <c r="N38" s="457"/>
      <c r="O38" s="457"/>
      <c r="P38" s="457"/>
      <c r="Q38" s="457"/>
      <c r="R38" s="457"/>
      <c r="S38" s="694"/>
      <c r="T38" s="440"/>
      <c r="U38" s="440"/>
      <c r="V38" s="440"/>
      <c r="W38" s="440"/>
      <c r="X38" s="440"/>
      <c r="Y38" s="440"/>
      <c r="Z38" s="159"/>
      <c r="AA38" s="694"/>
      <c r="AB38" s="159"/>
    </row>
    <row r="39" spans="1:28" ht="12" customHeight="1" thickBot="1">
      <c r="A39" s="202"/>
      <c r="B39" s="203" t="s">
        <v>50</v>
      </c>
      <c r="C39" s="451" t="s">
        <v>83</v>
      </c>
      <c r="D39" s="457"/>
      <c r="E39" s="457"/>
      <c r="F39" s="457"/>
      <c r="G39" s="457"/>
      <c r="H39" s="457"/>
      <c r="I39" s="457"/>
      <c r="J39" s="457"/>
      <c r="K39" s="462"/>
      <c r="L39" s="457"/>
      <c r="M39" s="457"/>
      <c r="N39" s="457"/>
      <c r="O39" s="457"/>
      <c r="P39" s="457"/>
      <c r="Q39" s="457"/>
      <c r="R39" s="457"/>
      <c r="S39" s="462"/>
      <c r="T39" s="457"/>
      <c r="U39" s="457"/>
      <c r="V39" s="457"/>
      <c r="W39" s="457"/>
      <c r="X39" s="457"/>
      <c r="Y39" s="457"/>
      <c r="Z39" s="204"/>
      <c r="AA39" s="462"/>
      <c r="AB39" s="204"/>
    </row>
    <row r="40" spans="1:28" ht="12" customHeight="1" thickBot="1">
      <c r="A40" s="163" t="s">
        <v>28</v>
      </c>
      <c r="B40" s="199"/>
      <c r="C40" s="449" t="s">
        <v>140</v>
      </c>
      <c r="D40" s="438">
        <f aca="true" t="shared" si="17" ref="D40:I40">SUM(D41:D44)</f>
        <v>889000</v>
      </c>
      <c r="E40" s="438">
        <f t="shared" si="17"/>
        <v>889000</v>
      </c>
      <c r="F40" s="438">
        <f t="shared" si="17"/>
        <v>889000</v>
      </c>
      <c r="G40" s="438">
        <f t="shared" si="17"/>
        <v>889000</v>
      </c>
      <c r="H40" s="438">
        <f t="shared" si="17"/>
        <v>889000</v>
      </c>
      <c r="I40" s="438">
        <f t="shared" si="17"/>
        <v>226207</v>
      </c>
      <c r="J40" s="438">
        <f>SUM(J41:J44)</f>
        <v>226207</v>
      </c>
      <c r="K40" s="370">
        <f>+J40/I40</f>
        <v>1</v>
      </c>
      <c r="L40" s="438">
        <f aca="true" t="shared" si="18" ref="L40:R40">SUM(L41:L44)</f>
        <v>889000</v>
      </c>
      <c r="M40" s="438">
        <f t="shared" si="18"/>
        <v>889000</v>
      </c>
      <c r="N40" s="438">
        <f t="shared" si="18"/>
        <v>889000</v>
      </c>
      <c r="O40" s="438">
        <f t="shared" si="18"/>
        <v>889000</v>
      </c>
      <c r="P40" s="438">
        <f t="shared" si="18"/>
        <v>889000</v>
      </c>
      <c r="Q40" s="438">
        <f t="shared" si="18"/>
        <v>226207</v>
      </c>
      <c r="R40" s="438">
        <f t="shared" si="18"/>
        <v>226207</v>
      </c>
      <c r="S40" s="370">
        <f>+R40/Q40</f>
        <v>1</v>
      </c>
      <c r="T40" s="438">
        <f aca="true" t="shared" si="19" ref="T40:Z40">SUM(T41:T44)</f>
        <v>0</v>
      </c>
      <c r="U40" s="438">
        <f t="shared" si="19"/>
        <v>0</v>
      </c>
      <c r="V40" s="438">
        <f t="shared" si="19"/>
        <v>0</v>
      </c>
      <c r="W40" s="438">
        <f t="shared" si="19"/>
        <v>0</v>
      </c>
      <c r="X40" s="438">
        <f t="shared" si="19"/>
        <v>0</v>
      </c>
      <c r="Y40" s="438">
        <f t="shared" si="19"/>
        <v>0</v>
      </c>
      <c r="Z40" s="153">
        <f t="shared" si="19"/>
        <v>0</v>
      </c>
      <c r="AA40" s="370"/>
      <c r="AB40" s="153">
        <f>SUM(AB41:AB44)</f>
        <v>0</v>
      </c>
    </row>
    <row r="41" spans="1:28" ht="12" customHeight="1">
      <c r="A41" s="200"/>
      <c r="B41" s="201" t="s">
        <v>141</v>
      </c>
      <c r="C41" s="450" t="s">
        <v>93</v>
      </c>
      <c r="D41" s="456">
        <v>889000</v>
      </c>
      <c r="E41" s="456">
        <v>889000</v>
      </c>
      <c r="F41" s="456">
        <v>889000</v>
      </c>
      <c r="G41" s="456">
        <v>889000</v>
      </c>
      <c r="H41" s="456">
        <v>889000</v>
      </c>
      <c r="I41" s="456">
        <v>226207</v>
      </c>
      <c r="J41" s="456">
        <v>226207</v>
      </c>
      <c r="K41" s="1055">
        <f>+J41/I41</f>
        <v>1</v>
      </c>
      <c r="L41" s="456">
        <v>889000</v>
      </c>
      <c r="M41" s="456">
        <v>889000</v>
      </c>
      <c r="N41" s="456">
        <v>889000</v>
      </c>
      <c r="O41" s="456">
        <v>889000</v>
      </c>
      <c r="P41" s="456">
        <v>889000</v>
      </c>
      <c r="Q41" s="456">
        <v>226207</v>
      </c>
      <c r="R41" s="456">
        <v>226207</v>
      </c>
      <c r="S41" s="1055">
        <f>+R41/Q41</f>
        <v>1</v>
      </c>
      <c r="T41" s="440"/>
      <c r="U41" s="440"/>
      <c r="V41" s="440"/>
      <c r="W41" s="440"/>
      <c r="X41" s="440"/>
      <c r="Y41" s="440"/>
      <c r="Z41" s="159"/>
      <c r="AA41" s="1055"/>
      <c r="AB41" s="159"/>
    </row>
    <row r="42" spans="1:28" ht="12" customHeight="1">
      <c r="A42" s="202"/>
      <c r="B42" s="203" t="s">
        <v>142</v>
      </c>
      <c r="C42" s="451" t="s">
        <v>94</v>
      </c>
      <c r="D42" s="457">
        <v>0</v>
      </c>
      <c r="E42" s="457">
        <v>0</v>
      </c>
      <c r="F42" s="457">
        <v>0</v>
      </c>
      <c r="G42" s="457">
        <v>0</v>
      </c>
      <c r="H42" s="457">
        <v>0</v>
      </c>
      <c r="I42" s="457"/>
      <c r="J42" s="457"/>
      <c r="K42" s="462">
        <v>0</v>
      </c>
      <c r="L42" s="457">
        <v>0</v>
      </c>
      <c r="M42" s="457">
        <v>0</v>
      </c>
      <c r="N42" s="457">
        <v>0</v>
      </c>
      <c r="O42" s="457">
        <v>0</v>
      </c>
      <c r="P42" s="457">
        <v>0</v>
      </c>
      <c r="Q42" s="457"/>
      <c r="R42" s="457"/>
      <c r="S42" s="462">
        <v>0</v>
      </c>
      <c r="T42" s="457"/>
      <c r="U42" s="457"/>
      <c r="V42" s="457"/>
      <c r="W42" s="457"/>
      <c r="X42" s="457"/>
      <c r="Y42" s="457"/>
      <c r="Z42" s="204"/>
      <c r="AA42" s="462"/>
      <c r="AB42" s="204"/>
    </row>
    <row r="43" spans="1:28" ht="15" customHeight="1">
      <c r="A43" s="202"/>
      <c r="B43" s="203" t="s">
        <v>143</v>
      </c>
      <c r="C43" s="451" t="s">
        <v>144</v>
      </c>
      <c r="D43" s="457"/>
      <c r="E43" s="457"/>
      <c r="F43" s="457"/>
      <c r="G43" s="457"/>
      <c r="H43" s="457"/>
      <c r="I43" s="457"/>
      <c r="J43" s="457"/>
      <c r="K43" s="462"/>
      <c r="L43" s="457"/>
      <c r="M43" s="457"/>
      <c r="N43" s="457"/>
      <c r="O43" s="457"/>
      <c r="P43" s="457"/>
      <c r="Q43" s="457"/>
      <c r="R43" s="457"/>
      <c r="S43" s="462"/>
      <c r="T43" s="457"/>
      <c r="U43" s="457"/>
      <c r="V43" s="457"/>
      <c r="W43" s="457"/>
      <c r="X43" s="457"/>
      <c r="Y43" s="457"/>
      <c r="Z43" s="204"/>
      <c r="AA43" s="462"/>
      <c r="AB43" s="204"/>
    </row>
    <row r="44" spans="1:28" ht="23.25" thickBot="1">
      <c r="A44" s="202"/>
      <c r="B44" s="203" t="s">
        <v>145</v>
      </c>
      <c r="C44" s="451" t="s">
        <v>146</v>
      </c>
      <c r="D44" s="457"/>
      <c r="E44" s="457"/>
      <c r="F44" s="457"/>
      <c r="G44" s="457"/>
      <c r="H44" s="457"/>
      <c r="I44" s="457"/>
      <c r="J44" s="457"/>
      <c r="K44" s="462"/>
      <c r="L44" s="457"/>
      <c r="M44" s="457"/>
      <c r="N44" s="457"/>
      <c r="O44" s="457"/>
      <c r="P44" s="457"/>
      <c r="Q44" s="457"/>
      <c r="R44" s="457"/>
      <c r="S44" s="462"/>
      <c r="T44" s="457"/>
      <c r="U44" s="457"/>
      <c r="V44" s="457"/>
      <c r="W44" s="457"/>
      <c r="X44" s="457"/>
      <c r="Y44" s="457"/>
      <c r="Z44" s="204"/>
      <c r="AA44" s="462"/>
      <c r="AB44" s="204"/>
    </row>
    <row r="45" spans="1:28" ht="15" customHeight="1" hidden="1" thickBot="1">
      <c r="A45" s="163" t="s">
        <v>10</v>
      </c>
      <c r="B45" s="199"/>
      <c r="C45" s="452" t="s">
        <v>147</v>
      </c>
      <c r="D45" s="443"/>
      <c r="E45" s="443"/>
      <c r="F45" s="443"/>
      <c r="G45" s="443"/>
      <c r="H45" s="443"/>
      <c r="I45" s="443"/>
      <c r="J45" s="443"/>
      <c r="K45" s="433"/>
      <c r="L45" s="443"/>
      <c r="M45" s="443"/>
      <c r="N45" s="443"/>
      <c r="O45" s="443"/>
      <c r="P45" s="443"/>
      <c r="Q45" s="443"/>
      <c r="R45" s="443"/>
      <c r="S45" s="433"/>
      <c r="T45" s="443"/>
      <c r="U45" s="443"/>
      <c r="V45" s="443"/>
      <c r="W45" s="443"/>
      <c r="X45" s="443"/>
      <c r="Y45" s="443"/>
      <c r="Z45" s="173"/>
      <c r="AA45" s="433"/>
      <c r="AB45" s="173"/>
    </row>
    <row r="46" spans="1:28" ht="14.25" customHeight="1" hidden="1" thickBot="1">
      <c r="A46" s="183" t="s">
        <v>11</v>
      </c>
      <c r="B46" s="184"/>
      <c r="C46" s="453" t="s">
        <v>148</v>
      </c>
      <c r="D46" s="443"/>
      <c r="E46" s="443"/>
      <c r="F46" s="443"/>
      <c r="G46" s="443"/>
      <c r="H46" s="443"/>
      <c r="I46" s="443"/>
      <c r="J46" s="443"/>
      <c r="K46" s="433"/>
      <c r="L46" s="443"/>
      <c r="M46" s="443"/>
      <c r="N46" s="443"/>
      <c r="O46" s="443"/>
      <c r="P46" s="443"/>
      <c r="Q46" s="443"/>
      <c r="R46" s="443"/>
      <c r="S46" s="433"/>
      <c r="T46" s="443"/>
      <c r="U46" s="443"/>
      <c r="V46" s="443"/>
      <c r="W46" s="443"/>
      <c r="X46" s="443"/>
      <c r="Y46" s="443"/>
      <c r="Z46" s="173"/>
      <c r="AA46" s="433"/>
      <c r="AB46" s="173"/>
    </row>
    <row r="47" spans="1:28" ht="13.5" thickBot="1">
      <c r="A47" s="163" t="s">
        <v>10</v>
      </c>
      <c r="B47" s="205"/>
      <c r="C47" s="454" t="s">
        <v>275</v>
      </c>
      <c r="D47" s="446">
        <f aca="true" t="shared" si="20" ref="D47:I47">D34+D40+D45+D46</f>
        <v>93897582</v>
      </c>
      <c r="E47" s="446">
        <f t="shared" si="20"/>
        <v>93897582</v>
      </c>
      <c r="F47" s="446">
        <f>F34+F40+F45+F46</f>
        <v>93910482</v>
      </c>
      <c r="G47" s="446">
        <f>G34+G40+G45+G46</f>
        <v>93910482</v>
      </c>
      <c r="H47" s="446">
        <f>H34+H40+H45+H46</f>
        <v>93983614</v>
      </c>
      <c r="I47" s="446">
        <f t="shared" si="20"/>
        <v>87387165</v>
      </c>
      <c r="J47" s="446">
        <f>J34+J40+J45+J46</f>
        <v>86329974</v>
      </c>
      <c r="K47" s="370">
        <f>+J47/I47</f>
        <v>0.9879022165325995</v>
      </c>
      <c r="L47" s="446">
        <f aca="true" t="shared" si="21" ref="L47:R47">L34+L40+L45+L46</f>
        <v>93897582</v>
      </c>
      <c r="M47" s="446">
        <f t="shared" si="21"/>
        <v>93897582</v>
      </c>
      <c r="N47" s="446">
        <f t="shared" si="21"/>
        <v>93910482</v>
      </c>
      <c r="O47" s="446">
        <f t="shared" si="21"/>
        <v>93910482</v>
      </c>
      <c r="P47" s="446">
        <f t="shared" si="21"/>
        <v>93983614</v>
      </c>
      <c r="Q47" s="446">
        <f t="shared" si="21"/>
        <v>87387165</v>
      </c>
      <c r="R47" s="446">
        <f t="shared" si="21"/>
        <v>86329974</v>
      </c>
      <c r="S47" s="370">
        <f>+R47/Q47</f>
        <v>0.9879022165325995</v>
      </c>
      <c r="T47" s="446">
        <f aca="true" t="shared" si="22" ref="T47:Z47">T34+T40+T45+T46</f>
        <v>5610894</v>
      </c>
      <c r="U47" s="446">
        <f t="shared" si="22"/>
        <v>5610894</v>
      </c>
      <c r="V47" s="446">
        <f t="shared" si="22"/>
        <v>5610894</v>
      </c>
      <c r="W47" s="446">
        <f t="shared" si="22"/>
        <v>5610894</v>
      </c>
      <c r="X47" s="446">
        <f t="shared" si="22"/>
        <v>5610894</v>
      </c>
      <c r="Y47" s="446">
        <f t="shared" si="22"/>
        <v>5610894</v>
      </c>
      <c r="Z47" s="446">
        <f t="shared" si="22"/>
        <v>5610894</v>
      </c>
      <c r="AA47" s="370">
        <f>+Z47/Y47</f>
        <v>1</v>
      </c>
      <c r="AB47" s="206">
        <f>AB34+AB40+AB45+AB46</f>
        <v>0</v>
      </c>
    </row>
    <row r="48" spans="1:28" ht="13.5" thickBot="1">
      <c r="A48" s="207"/>
      <c r="B48" s="208"/>
      <c r="C48" s="208"/>
      <c r="D48" s="463"/>
      <c r="E48" s="463"/>
      <c r="F48" s="463"/>
      <c r="G48" s="463"/>
      <c r="H48" s="463"/>
      <c r="I48" s="463"/>
      <c r="J48" s="463"/>
      <c r="K48" s="693"/>
      <c r="L48" s="463"/>
      <c r="M48" s="463"/>
      <c r="N48" s="463"/>
      <c r="O48" s="463"/>
      <c r="P48" s="463"/>
      <c r="Q48" s="463"/>
      <c r="R48" s="463"/>
      <c r="S48" s="693"/>
      <c r="T48" s="463"/>
      <c r="U48" s="463"/>
      <c r="V48" s="463"/>
      <c r="W48" s="463"/>
      <c r="X48" s="463"/>
      <c r="Y48" s="463"/>
      <c r="Z48" s="464"/>
      <c r="AA48" s="693"/>
      <c r="AB48" s="464"/>
    </row>
    <row r="49" spans="1:28" ht="13.5" thickBot="1">
      <c r="A49" s="209" t="s">
        <v>150</v>
      </c>
      <c r="B49" s="210"/>
      <c r="C49" s="455"/>
      <c r="D49" s="465">
        <v>18</v>
      </c>
      <c r="E49" s="465">
        <v>18</v>
      </c>
      <c r="F49" s="465">
        <v>18</v>
      </c>
      <c r="G49" s="465">
        <v>18</v>
      </c>
      <c r="H49" s="465">
        <v>18</v>
      </c>
      <c r="I49" s="465">
        <v>17</v>
      </c>
      <c r="J49" s="465">
        <v>17</v>
      </c>
      <c r="K49" s="1054">
        <f>+J49/I49</f>
        <v>1</v>
      </c>
      <c r="L49" s="465">
        <v>18</v>
      </c>
      <c r="M49" s="465">
        <v>18</v>
      </c>
      <c r="N49" s="465">
        <v>18</v>
      </c>
      <c r="O49" s="465">
        <v>18</v>
      </c>
      <c r="P49" s="465">
        <v>18</v>
      </c>
      <c r="Q49" s="465">
        <v>17</v>
      </c>
      <c r="R49" s="465">
        <v>17</v>
      </c>
      <c r="S49" s="1054">
        <f>+R49/Q49</f>
        <v>1</v>
      </c>
      <c r="T49" s="465">
        <v>0</v>
      </c>
      <c r="U49" s="465">
        <v>2</v>
      </c>
      <c r="V49" s="465">
        <v>2</v>
      </c>
      <c r="W49" s="465">
        <v>2</v>
      </c>
      <c r="X49" s="465">
        <v>2</v>
      </c>
      <c r="Y49" s="465">
        <v>0</v>
      </c>
      <c r="Z49" s="465">
        <v>0</v>
      </c>
      <c r="AA49" s="370" t="s">
        <v>627</v>
      </c>
      <c r="AB49" s="458"/>
    </row>
    <row r="50" spans="1:28" ht="13.5" thickBot="1">
      <c r="A50" s="209" t="s">
        <v>151</v>
      </c>
      <c r="B50" s="210"/>
      <c r="C50" s="455"/>
      <c r="D50" s="465">
        <v>0</v>
      </c>
      <c r="E50" s="465">
        <v>0</v>
      </c>
      <c r="F50" s="465">
        <v>0</v>
      </c>
      <c r="G50" s="465">
        <v>0</v>
      </c>
      <c r="H50" s="465">
        <v>0</v>
      </c>
      <c r="I50" s="465">
        <v>0</v>
      </c>
      <c r="J50" s="465">
        <v>0</v>
      </c>
      <c r="K50" s="370" t="s">
        <v>627</v>
      </c>
      <c r="L50" s="465">
        <v>0</v>
      </c>
      <c r="M50" s="465">
        <v>0</v>
      </c>
      <c r="N50" s="465">
        <v>0</v>
      </c>
      <c r="O50" s="465">
        <v>0</v>
      </c>
      <c r="P50" s="465">
        <v>0</v>
      </c>
      <c r="Q50" s="465">
        <v>0</v>
      </c>
      <c r="R50" s="465">
        <v>0</v>
      </c>
      <c r="S50" s="370" t="s">
        <v>627</v>
      </c>
      <c r="T50" s="465">
        <v>0</v>
      </c>
      <c r="U50" s="465">
        <v>0</v>
      </c>
      <c r="V50" s="465">
        <v>0</v>
      </c>
      <c r="W50" s="465">
        <v>0</v>
      </c>
      <c r="X50" s="465">
        <v>0</v>
      </c>
      <c r="Y50" s="465">
        <v>0</v>
      </c>
      <c r="Z50" s="465">
        <v>0</v>
      </c>
      <c r="AA50" s="370" t="s">
        <v>627</v>
      </c>
      <c r="AB50" s="458"/>
    </row>
    <row r="51" spans="6:19" ht="7.5" customHeight="1">
      <c r="F51" s="227"/>
      <c r="G51" s="227"/>
      <c r="H51" s="227"/>
      <c r="I51" s="227"/>
      <c r="J51" s="227"/>
      <c r="K51" s="227"/>
      <c r="N51" s="227"/>
      <c r="O51" s="227"/>
      <c r="P51" s="227"/>
      <c r="Q51" s="227"/>
      <c r="R51" s="227"/>
      <c r="S51" s="227"/>
    </row>
    <row r="52" spans="1:19" ht="12.75">
      <c r="A52" s="1522" t="s">
        <v>211</v>
      </c>
      <c r="B52" s="1522"/>
      <c r="C52" s="1522"/>
      <c r="F52" s="227"/>
      <c r="N52" s="227"/>
      <c r="O52" s="227"/>
      <c r="P52" s="227"/>
      <c r="Q52" s="227"/>
      <c r="R52" s="227"/>
      <c r="S52" s="227"/>
    </row>
    <row r="53" spans="4:11" ht="12.75">
      <c r="D53" s="227">
        <v>0</v>
      </c>
      <c r="E53" s="227"/>
      <c r="F53" s="227"/>
      <c r="G53" s="227"/>
      <c r="H53" s="227"/>
      <c r="I53" s="227"/>
      <c r="J53" s="227"/>
      <c r="K53" s="227"/>
    </row>
  </sheetData>
  <sheetProtection/>
  <mergeCells count="7">
    <mergeCell ref="C1:X1"/>
    <mergeCell ref="A5:B5"/>
    <mergeCell ref="A3:T3"/>
    <mergeCell ref="A52:C52"/>
    <mergeCell ref="D5:K5"/>
    <mergeCell ref="L5:S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Y7" sqref="Y7"/>
    </sheetView>
  </sheetViews>
  <sheetFormatPr defaultColWidth="9.140625" defaultRowHeight="12.75"/>
  <cols>
    <col min="1" max="1" width="8.28125" style="312" customWidth="1"/>
    <col min="2" max="2" width="8.28125" style="306" customWidth="1"/>
    <col min="3" max="3" width="52.00390625" style="306" customWidth="1"/>
    <col min="4" max="4" width="13.28125" style="306" customWidth="1"/>
    <col min="5" max="5" width="11.28125" style="306" hidden="1" customWidth="1"/>
    <col min="6" max="6" width="11.00390625" style="306" hidden="1" customWidth="1"/>
    <col min="7" max="7" width="12.140625" style="306" hidden="1" customWidth="1"/>
    <col min="8" max="8" width="12.28125" style="306" hidden="1" customWidth="1"/>
    <col min="9" max="9" width="13.00390625" style="306" customWidth="1"/>
    <col min="10" max="10" width="12.140625" style="306" customWidth="1"/>
    <col min="11" max="11" width="11.00390625" style="306" customWidth="1"/>
    <col min="12" max="12" width="13.7109375" style="306" customWidth="1"/>
    <col min="13" max="13" width="11.28125" style="306" hidden="1" customWidth="1"/>
    <col min="14" max="14" width="14.00390625" style="306" hidden="1" customWidth="1"/>
    <col min="15" max="15" width="11.28125" style="306" hidden="1" customWidth="1"/>
    <col min="16" max="16" width="12.28125" style="306" hidden="1" customWidth="1"/>
    <col min="17" max="18" width="13.00390625" style="306" customWidth="1"/>
    <col min="19" max="19" width="10.8515625" style="306" customWidth="1"/>
    <col min="20" max="20" width="13.57421875" style="306" bestFit="1" customWidth="1"/>
    <col min="21" max="21" width="6.28125" style="306" hidden="1" customWidth="1"/>
    <col min="22" max="22" width="7.140625" style="306" hidden="1" customWidth="1"/>
    <col min="23" max="23" width="8.57421875" style="306" hidden="1" customWidth="1"/>
    <col min="24" max="24" width="13.28125" style="306" customWidth="1"/>
    <col min="25" max="16384" width="9.140625" style="306" customWidth="1"/>
  </cols>
  <sheetData>
    <row r="1" spans="1:23" s="136" customFormat="1" ht="21" customHeight="1">
      <c r="A1" s="132"/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518" t="s">
        <v>629</v>
      </c>
      <c r="M1" s="1518"/>
      <c r="N1" s="1518"/>
      <c r="O1" s="1518"/>
      <c r="P1" s="1518"/>
      <c r="Q1" s="1518"/>
      <c r="R1" s="1518"/>
      <c r="S1" s="1518"/>
      <c r="T1" s="1518"/>
      <c r="U1" s="1518"/>
      <c r="V1" s="1518"/>
      <c r="W1" s="1518"/>
    </row>
    <row r="2" spans="1:11" s="136" customFormat="1" ht="21" customHeight="1">
      <c r="A2" s="247"/>
      <c r="B2" s="133"/>
      <c r="C2" s="138"/>
      <c r="D2" s="137"/>
      <c r="E2" s="137"/>
      <c r="F2" s="137"/>
      <c r="G2" s="137"/>
      <c r="H2" s="137"/>
      <c r="I2" s="137"/>
      <c r="J2" s="137"/>
      <c r="K2" s="137"/>
    </row>
    <row r="3" spans="1:20" s="139" customFormat="1" ht="25.5" customHeight="1">
      <c r="A3" s="1521" t="s">
        <v>215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1521"/>
      <c r="T3" s="1521"/>
    </row>
    <row r="4" spans="1:20" s="142" customFormat="1" ht="15.75" customHeight="1" thickBot="1">
      <c r="A4" s="140"/>
      <c r="B4" s="140"/>
      <c r="C4" s="140"/>
      <c r="T4" s="141" t="s">
        <v>447</v>
      </c>
    </row>
    <row r="5" spans="1:24" s="142" customFormat="1" ht="41.25" customHeight="1" thickBot="1">
      <c r="A5" s="140"/>
      <c r="B5" s="140"/>
      <c r="C5" s="140"/>
      <c r="D5" s="1528" t="s">
        <v>5</v>
      </c>
      <c r="E5" s="1529"/>
      <c r="F5" s="1529"/>
      <c r="G5" s="1529"/>
      <c r="H5" s="1529"/>
      <c r="I5" s="1529"/>
      <c r="J5" s="1529"/>
      <c r="K5" s="1530"/>
      <c r="L5" s="1528" t="s">
        <v>105</v>
      </c>
      <c r="M5" s="1529"/>
      <c r="N5" s="1529"/>
      <c r="O5" s="1529"/>
      <c r="P5" s="1529"/>
      <c r="Q5" s="1529"/>
      <c r="R5" s="1531"/>
      <c r="S5" s="1530"/>
      <c r="T5" s="1528" t="s">
        <v>153</v>
      </c>
      <c r="U5" s="1529"/>
      <c r="V5" s="1529"/>
      <c r="W5" s="1529"/>
      <c r="X5" s="1529"/>
    </row>
    <row r="6" spans="1:24" ht="24.75" thickBot="1">
      <c r="A6" s="1519" t="s">
        <v>107</v>
      </c>
      <c r="B6" s="1520"/>
      <c r="C6" s="466" t="s">
        <v>108</v>
      </c>
      <c r="D6" s="460" t="s">
        <v>65</v>
      </c>
      <c r="E6" s="143" t="s">
        <v>228</v>
      </c>
      <c r="F6" s="143" t="s">
        <v>231</v>
      </c>
      <c r="G6" s="143" t="s">
        <v>233</v>
      </c>
      <c r="H6" s="466" t="s">
        <v>246</v>
      </c>
      <c r="I6" s="466" t="s">
        <v>250</v>
      </c>
      <c r="J6" s="431" t="s">
        <v>236</v>
      </c>
      <c r="K6" s="430" t="s">
        <v>237</v>
      </c>
      <c r="L6" s="460" t="s">
        <v>65</v>
      </c>
      <c r="M6" s="143" t="s">
        <v>228</v>
      </c>
      <c r="N6" s="143" t="s">
        <v>231</v>
      </c>
      <c r="O6" s="143" t="s">
        <v>233</v>
      </c>
      <c r="P6" s="466" t="s">
        <v>246</v>
      </c>
      <c r="Q6" s="466" t="s">
        <v>250</v>
      </c>
      <c r="R6" s="431" t="s">
        <v>236</v>
      </c>
      <c r="S6" s="431" t="s">
        <v>237</v>
      </c>
      <c r="T6" s="460" t="s">
        <v>65</v>
      </c>
      <c r="U6" s="143" t="s">
        <v>228</v>
      </c>
      <c r="V6" s="143" t="s">
        <v>231</v>
      </c>
      <c r="W6" s="143" t="s">
        <v>233</v>
      </c>
      <c r="X6" s="143" t="s">
        <v>630</v>
      </c>
    </row>
    <row r="7" spans="1:24" s="148" customFormat="1" ht="12.75" customHeight="1" thickBot="1">
      <c r="A7" s="145">
        <v>1</v>
      </c>
      <c r="B7" s="146">
        <v>2</v>
      </c>
      <c r="C7" s="296">
        <v>3</v>
      </c>
      <c r="D7" s="145">
        <v>4</v>
      </c>
      <c r="E7" s="146">
        <v>5</v>
      </c>
      <c r="F7" s="146">
        <v>6</v>
      </c>
      <c r="G7" s="146">
        <v>7</v>
      </c>
      <c r="H7" s="296">
        <v>8</v>
      </c>
      <c r="I7" s="296">
        <v>5</v>
      </c>
      <c r="J7" s="147">
        <v>6</v>
      </c>
      <c r="K7" s="957">
        <v>7</v>
      </c>
      <c r="L7" s="145">
        <v>8</v>
      </c>
      <c r="M7" s="146">
        <v>10</v>
      </c>
      <c r="N7" s="146">
        <v>11</v>
      </c>
      <c r="O7" s="146">
        <v>12</v>
      </c>
      <c r="P7" s="296">
        <v>13</v>
      </c>
      <c r="Q7" s="147">
        <v>9</v>
      </c>
      <c r="R7" s="473">
        <v>10</v>
      </c>
      <c r="S7" s="473">
        <v>11</v>
      </c>
      <c r="T7" s="145">
        <v>12</v>
      </c>
      <c r="U7" s="146">
        <v>15</v>
      </c>
      <c r="V7" s="147">
        <v>16</v>
      </c>
      <c r="W7" s="147">
        <v>17</v>
      </c>
      <c r="X7" s="147">
        <v>13</v>
      </c>
    </row>
    <row r="8" spans="1:24" s="148" customFormat="1" ht="15.75" customHeight="1" thickBot="1">
      <c r="A8" s="149"/>
      <c r="B8" s="150"/>
      <c r="C8" s="150" t="s">
        <v>109</v>
      </c>
      <c r="D8" s="437"/>
      <c r="E8" s="437"/>
      <c r="F8" s="478"/>
      <c r="G8" s="478"/>
      <c r="H8" s="771"/>
      <c r="I8" s="771"/>
      <c r="J8" s="696"/>
      <c r="K8" s="695"/>
      <c r="L8" s="480"/>
      <c r="M8" s="437"/>
      <c r="N8" s="271"/>
      <c r="O8" s="271"/>
      <c r="P8" s="772"/>
      <c r="Q8" s="272"/>
      <c r="R8" s="474"/>
      <c r="S8" s="474"/>
      <c r="T8" s="480"/>
      <c r="U8" s="271"/>
      <c r="V8" s="272"/>
      <c r="W8" s="272"/>
      <c r="X8" s="272"/>
    </row>
    <row r="9" spans="1:24" s="154" customFormat="1" ht="12" customHeight="1" thickBot="1">
      <c r="A9" s="145" t="s">
        <v>27</v>
      </c>
      <c r="B9" s="151"/>
      <c r="C9" s="467" t="s">
        <v>335</v>
      </c>
      <c r="D9" s="438">
        <f aca="true" t="shared" si="0" ref="D9:I9">SUM(D10:D17)</f>
        <v>32986499</v>
      </c>
      <c r="E9" s="438">
        <f t="shared" si="0"/>
        <v>32986499</v>
      </c>
      <c r="F9" s="438">
        <f t="shared" si="0"/>
        <v>32993499</v>
      </c>
      <c r="G9" s="438">
        <f t="shared" si="0"/>
        <v>32993499</v>
      </c>
      <c r="H9" s="438">
        <f t="shared" si="0"/>
        <v>32993499</v>
      </c>
      <c r="I9" s="438">
        <f t="shared" si="0"/>
        <v>34540533</v>
      </c>
      <c r="J9" s="438">
        <f>SUM(J10:J17)</f>
        <v>32562536</v>
      </c>
      <c r="K9" s="1059">
        <f>+J9/I9</f>
        <v>0.9427340336641592</v>
      </c>
      <c r="L9" s="438">
        <f aca="true" t="shared" si="1" ref="L9:R9">SUM(L10:L17)</f>
        <v>32986499</v>
      </c>
      <c r="M9" s="438">
        <f t="shared" si="1"/>
        <v>32986499</v>
      </c>
      <c r="N9" s="438">
        <f t="shared" si="1"/>
        <v>32993499</v>
      </c>
      <c r="O9" s="438">
        <f t="shared" si="1"/>
        <v>32993499</v>
      </c>
      <c r="P9" s="438">
        <f t="shared" si="1"/>
        <v>32993499</v>
      </c>
      <c r="Q9" s="438">
        <f t="shared" si="1"/>
        <v>34540533</v>
      </c>
      <c r="R9" s="438">
        <f t="shared" si="1"/>
        <v>32562536</v>
      </c>
      <c r="S9" s="1059">
        <f>+R9/Q9</f>
        <v>0.9427340336641592</v>
      </c>
      <c r="T9" s="438"/>
      <c r="U9" s="214"/>
      <c r="V9" s="153"/>
      <c r="W9" s="153"/>
      <c r="X9" s="153"/>
    </row>
    <row r="10" spans="1:24" s="154" customFormat="1" ht="12" customHeight="1">
      <c r="A10" s="155"/>
      <c r="B10" s="166" t="s">
        <v>36</v>
      </c>
      <c r="C10" s="840" t="s">
        <v>473</v>
      </c>
      <c r="D10" s="843">
        <v>13750320</v>
      </c>
      <c r="E10" s="843">
        <v>13750320</v>
      </c>
      <c r="F10" s="843">
        <v>13750320</v>
      </c>
      <c r="G10" s="843">
        <v>13750320</v>
      </c>
      <c r="H10" s="843">
        <v>13750320</v>
      </c>
      <c r="I10" s="843">
        <v>14543305</v>
      </c>
      <c r="J10" s="843">
        <v>14460852</v>
      </c>
      <c r="K10" s="1060">
        <f>+J10/I10</f>
        <v>0.9943305184069233</v>
      </c>
      <c r="L10" s="843">
        <v>13750320</v>
      </c>
      <c r="M10" s="843">
        <v>13750320</v>
      </c>
      <c r="N10" s="843">
        <v>13750320</v>
      </c>
      <c r="O10" s="843">
        <v>13750320</v>
      </c>
      <c r="P10" s="843">
        <v>13750320</v>
      </c>
      <c r="Q10" s="843">
        <v>14543305</v>
      </c>
      <c r="R10" s="843">
        <v>14460852</v>
      </c>
      <c r="S10" s="1060">
        <f>+R10/Q10</f>
        <v>0.9943305184069233</v>
      </c>
      <c r="T10" s="824"/>
      <c r="U10" s="821"/>
      <c r="V10" s="823"/>
      <c r="W10" s="823"/>
      <c r="X10" s="823"/>
    </row>
    <row r="11" spans="1:24" s="154" customFormat="1" ht="12" customHeight="1">
      <c r="A11" s="157"/>
      <c r="B11" s="156" t="s">
        <v>37</v>
      </c>
      <c r="C11" s="841" t="s">
        <v>333</v>
      </c>
      <c r="D11" s="844">
        <v>5500000</v>
      </c>
      <c r="E11" s="844">
        <v>5500000</v>
      </c>
      <c r="F11" s="844">
        <v>5500000</v>
      </c>
      <c r="G11" s="844">
        <v>5500000</v>
      </c>
      <c r="H11" s="844">
        <v>5500000</v>
      </c>
      <c r="I11" s="844">
        <v>5500000</v>
      </c>
      <c r="J11" s="844">
        <v>4244794</v>
      </c>
      <c r="K11" s="1061">
        <f aca="true" t="shared" si="2" ref="K11:K16">+J11/I11</f>
        <v>0.7717807272727273</v>
      </c>
      <c r="L11" s="844">
        <v>5500000</v>
      </c>
      <c r="M11" s="844">
        <v>5500000</v>
      </c>
      <c r="N11" s="844">
        <v>5500000</v>
      </c>
      <c r="O11" s="844">
        <v>5500000</v>
      </c>
      <c r="P11" s="844">
        <v>5500000</v>
      </c>
      <c r="Q11" s="844">
        <v>5500000</v>
      </c>
      <c r="R11" s="844">
        <v>4244794</v>
      </c>
      <c r="S11" s="1061">
        <f aca="true" t="shared" si="3" ref="S11:S16">+R11/Q11</f>
        <v>0.7717807272727273</v>
      </c>
      <c r="T11" s="829"/>
      <c r="U11" s="826"/>
      <c r="V11" s="828"/>
      <c r="W11" s="828"/>
      <c r="X11" s="828"/>
    </row>
    <row r="12" spans="1:24" s="154" customFormat="1" ht="12" customHeight="1">
      <c r="A12" s="157"/>
      <c r="B12" s="156" t="s">
        <v>38</v>
      </c>
      <c r="C12" s="841" t="s">
        <v>475</v>
      </c>
      <c r="D12" s="844">
        <v>1770000</v>
      </c>
      <c r="E12" s="844">
        <v>1770000</v>
      </c>
      <c r="F12" s="844">
        <v>1770000</v>
      </c>
      <c r="G12" s="844">
        <v>1770000</v>
      </c>
      <c r="H12" s="844">
        <v>1770000</v>
      </c>
      <c r="I12" s="844">
        <v>1770000</v>
      </c>
      <c r="J12" s="844">
        <v>1569250</v>
      </c>
      <c r="K12" s="1061">
        <f t="shared" si="2"/>
        <v>0.8865819209039548</v>
      </c>
      <c r="L12" s="844">
        <v>1770000</v>
      </c>
      <c r="M12" s="844">
        <v>1770000</v>
      </c>
      <c r="N12" s="844">
        <v>1770000</v>
      </c>
      <c r="O12" s="844">
        <v>1770000</v>
      </c>
      <c r="P12" s="844">
        <v>1770000</v>
      </c>
      <c r="Q12" s="844">
        <v>1770000</v>
      </c>
      <c r="R12" s="844">
        <v>1569250</v>
      </c>
      <c r="S12" s="1061">
        <f t="shared" si="3"/>
        <v>0.8865819209039548</v>
      </c>
      <c r="T12" s="829"/>
      <c r="U12" s="826"/>
      <c r="V12" s="828"/>
      <c r="W12" s="828"/>
      <c r="X12" s="828"/>
    </row>
    <row r="13" spans="1:24" s="154" customFormat="1" ht="12" customHeight="1">
      <c r="A13" s="157"/>
      <c r="B13" s="156" t="s">
        <v>49</v>
      </c>
      <c r="C13" s="841" t="s">
        <v>476</v>
      </c>
      <c r="D13" s="844">
        <v>5151069</v>
      </c>
      <c r="E13" s="844">
        <v>5151069</v>
      </c>
      <c r="F13" s="844">
        <v>5151069</v>
      </c>
      <c r="G13" s="844">
        <v>5151069</v>
      </c>
      <c r="H13" s="844">
        <v>5151069</v>
      </c>
      <c r="I13" s="844">
        <v>5663190</v>
      </c>
      <c r="J13" s="844">
        <v>5604082</v>
      </c>
      <c r="K13" s="1061">
        <f t="shared" si="2"/>
        <v>0.9895627729248003</v>
      </c>
      <c r="L13" s="844">
        <v>5151069</v>
      </c>
      <c r="M13" s="844">
        <v>5151069</v>
      </c>
      <c r="N13" s="844">
        <v>5151069</v>
      </c>
      <c r="O13" s="844">
        <v>5151069</v>
      </c>
      <c r="P13" s="844">
        <v>5151069</v>
      </c>
      <c r="Q13" s="844">
        <v>5663190</v>
      </c>
      <c r="R13" s="844">
        <v>5604082</v>
      </c>
      <c r="S13" s="1061">
        <f t="shared" si="3"/>
        <v>0.9895627729248003</v>
      </c>
      <c r="T13" s="829"/>
      <c r="U13" s="826"/>
      <c r="V13" s="828"/>
      <c r="W13" s="828"/>
      <c r="X13" s="828"/>
    </row>
    <row r="14" spans="1:24" s="154" customFormat="1" ht="12" customHeight="1">
      <c r="A14" s="157"/>
      <c r="B14" s="156" t="s">
        <v>50</v>
      </c>
      <c r="C14" s="842" t="s">
        <v>477</v>
      </c>
      <c r="D14" s="845">
        <v>6815110</v>
      </c>
      <c r="E14" s="845">
        <v>6815110</v>
      </c>
      <c r="F14" s="845">
        <v>6815110</v>
      </c>
      <c r="G14" s="845">
        <v>6815110</v>
      </c>
      <c r="H14" s="845">
        <v>6815110</v>
      </c>
      <c r="I14" s="845">
        <v>6917038</v>
      </c>
      <c r="J14" s="845">
        <v>6536930</v>
      </c>
      <c r="K14" s="1062">
        <f t="shared" si="2"/>
        <v>0.945047576722869</v>
      </c>
      <c r="L14" s="845">
        <v>6815110</v>
      </c>
      <c r="M14" s="845">
        <v>6815110</v>
      </c>
      <c r="N14" s="845">
        <v>6815110</v>
      </c>
      <c r="O14" s="845">
        <v>6815110</v>
      </c>
      <c r="P14" s="845">
        <v>6815110</v>
      </c>
      <c r="Q14" s="845">
        <v>6917038</v>
      </c>
      <c r="R14" s="845">
        <v>6536930</v>
      </c>
      <c r="S14" s="1062">
        <f t="shared" si="3"/>
        <v>0.945047576722869</v>
      </c>
      <c r="T14" s="835"/>
      <c r="U14" s="832"/>
      <c r="V14" s="834"/>
      <c r="W14" s="834"/>
      <c r="X14" s="834"/>
    </row>
    <row r="15" spans="1:24" s="154" customFormat="1" ht="12" customHeight="1">
      <c r="A15" s="157"/>
      <c r="B15" s="156" t="s">
        <v>478</v>
      </c>
      <c r="C15" s="842" t="s">
        <v>310</v>
      </c>
      <c r="D15" s="835">
        <v>0</v>
      </c>
      <c r="E15" s="835">
        <v>0</v>
      </c>
      <c r="F15" s="845">
        <v>2000</v>
      </c>
      <c r="G15" s="845">
        <v>2000</v>
      </c>
      <c r="H15" s="845">
        <v>2000</v>
      </c>
      <c r="I15" s="845">
        <v>1400</v>
      </c>
      <c r="J15" s="845">
        <v>1067</v>
      </c>
      <c r="K15" s="1062">
        <f t="shared" si="2"/>
        <v>0.7621428571428571</v>
      </c>
      <c r="L15" s="845">
        <v>0</v>
      </c>
      <c r="M15" s="845">
        <v>0</v>
      </c>
      <c r="N15" s="845">
        <v>2000</v>
      </c>
      <c r="O15" s="845">
        <v>2000</v>
      </c>
      <c r="P15" s="845">
        <v>2000</v>
      </c>
      <c r="Q15" s="845">
        <v>1400</v>
      </c>
      <c r="R15" s="845">
        <v>1067</v>
      </c>
      <c r="S15" s="1062">
        <f t="shared" si="3"/>
        <v>0.7621428571428571</v>
      </c>
      <c r="T15" s="835"/>
      <c r="U15" s="832"/>
      <c r="V15" s="834"/>
      <c r="W15" s="834"/>
      <c r="X15" s="834"/>
    </row>
    <row r="16" spans="1:24" s="154" customFormat="1" ht="12" customHeight="1">
      <c r="A16" s="157"/>
      <c r="B16" s="156" t="s">
        <v>479</v>
      </c>
      <c r="C16" s="831" t="s">
        <v>474</v>
      </c>
      <c r="D16" s="835"/>
      <c r="E16" s="835"/>
      <c r="F16" s="845">
        <v>5000</v>
      </c>
      <c r="G16" s="845">
        <v>5000</v>
      </c>
      <c r="H16" s="845">
        <v>5000</v>
      </c>
      <c r="I16" s="845">
        <v>145600</v>
      </c>
      <c r="J16" s="845">
        <v>145561</v>
      </c>
      <c r="K16" s="1062">
        <f t="shared" si="2"/>
        <v>0.9997321428571428</v>
      </c>
      <c r="L16" s="845"/>
      <c r="M16" s="845"/>
      <c r="N16" s="845">
        <v>5000</v>
      </c>
      <c r="O16" s="845">
        <v>5000</v>
      </c>
      <c r="P16" s="845">
        <v>5000</v>
      </c>
      <c r="Q16" s="845">
        <v>145600</v>
      </c>
      <c r="R16" s="845">
        <v>145561</v>
      </c>
      <c r="S16" s="1062">
        <f t="shared" si="3"/>
        <v>0.9997321428571428</v>
      </c>
      <c r="T16" s="835"/>
      <c r="U16" s="832"/>
      <c r="V16" s="834"/>
      <c r="W16" s="834"/>
      <c r="X16" s="834"/>
    </row>
    <row r="17" spans="1:24" s="154" customFormat="1" ht="12" customHeight="1" thickBot="1">
      <c r="A17" s="846"/>
      <c r="B17" s="847"/>
      <c r="C17" s="836"/>
      <c r="D17" s="837"/>
      <c r="E17" s="837"/>
      <c r="F17" s="899"/>
      <c r="G17" s="899"/>
      <c r="H17" s="899"/>
      <c r="I17" s="899"/>
      <c r="J17" s="899"/>
      <c r="K17" s="1063"/>
      <c r="L17" s="899"/>
      <c r="M17" s="899"/>
      <c r="N17" s="899"/>
      <c r="O17" s="899"/>
      <c r="P17" s="899"/>
      <c r="Q17" s="899"/>
      <c r="R17" s="899"/>
      <c r="S17" s="1063"/>
      <c r="T17" s="837"/>
      <c r="U17" s="838"/>
      <c r="V17" s="839"/>
      <c r="W17" s="839"/>
      <c r="X17" s="839"/>
    </row>
    <row r="18" spans="1:24" s="154" customFormat="1" ht="12" customHeight="1" thickBot="1">
      <c r="A18" s="145" t="s">
        <v>28</v>
      </c>
      <c r="B18" s="151"/>
      <c r="C18" s="467" t="s">
        <v>116</v>
      </c>
      <c r="D18" s="438">
        <f aca="true" t="shared" si="4" ref="D18:I18">D19+D21</f>
        <v>0</v>
      </c>
      <c r="E18" s="438">
        <f t="shared" si="4"/>
        <v>0</v>
      </c>
      <c r="F18" s="438">
        <f t="shared" si="4"/>
        <v>0</v>
      </c>
      <c r="G18" s="438">
        <f t="shared" si="4"/>
        <v>0</v>
      </c>
      <c r="H18" s="438">
        <f t="shared" si="4"/>
        <v>0</v>
      </c>
      <c r="I18" s="438">
        <f t="shared" si="4"/>
        <v>0</v>
      </c>
      <c r="J18" s="438">
        <f>J19+J21</f>
        <v>0</v>
      </c>
      <c r="K18" s="1059"/>
      <c r="L18" s="438">
        <f aca="true" t="shared" si="5" ref="L18:R18">L19+L21</f>
        <v>0</v>
      </c>
      <c r="M18" s="438">
        <f t="shared" si="5"/>
        <v>0</v>
      </c>
      <c r="N18" s="438">
        <f t="shared" si="5"/>
        <v>0</v>
      </c>
      <c r="O18" s="438">
        <f t="shared" si="5"/>
        <v>0</v>
      </c>
      <c r="P18" s="438">
        <f t="shared" si="5"/>
        <v>0</v>
      </c>
      <c r="Q18" s="438">
        <f t="shared" si="5"/>
        <v>0</v>
      </c>
      <c r="R18" s="438">
        <f t="shared" si="5"/>
        <v>0</v>
      </c>
      <c r="S18" s="1059"/>
      <c r="T18" s="438"/>
      <c r="U18" s="214"/>
      <c r="V18" s="153"/>
      <c r="W18" s="153"/>
      <c r="X18" s="153"/>
    </row>
    <row r="19" spans="1:24" s="160" customFormat="1" ht="12" customHeight="1">
      <c r="A19" s="157"/>
      <c r="B19" s="156" t="s">
        <v>39</v>
      </c>
      <c r="C19" s="450" t="s">
        <v>72</v>
      </c>
      <c r="D19" s="440"/>
      <c r="E19" s="440"/>
      <c r="F19" s="440"/>
      <c r="G19" s="440"/>
      <c r="H19" s="440"/>
      <c r="I19" s="440"/>
      <c r="J19" s="440"/>
      <c r="K19" s="1064"/>
      <c r="L19" s="440"/>
      <c r="M19" s="440"/>
      <c r="N19" s="440"/>
      <c r="O19" s="440"/>
      <c r="P19" s="440"/>
      <c r="Q19" s="440"/>
      <c r="R19" s="440"/>
      <c r="S19" s="1064"/>
      <c r="T19" s="440"/>
      <c r="U19" s="215"/>
      <c r="V19" s="159"/>
      <c r="W19" s="159"/>
      <c r="X19" s="159"/>
    </row>
    <row r="20" spans="1:24" s="160" customFormat="1" ht="12" customHeight="1">
      <c r="A20" s="157"/>
      <c r="B20" s="156" t="s">
        <v>40</v>
      </c>
      <c r="C20" s="451" t="s">
        <v>119</v>
      </c>
      <c r="D20" s="440"/>
      <c r="E20" s="440"/>
      <c r="F20" s="440"/>
      <c r="G20" s="440"/>
      <c r="H20" s="440"/>
      <c r="I20" s="440"/>
      <c r="J20" s="440"/>
      <c r="K20" s="1064"/>
      <c r="L20" s="440"/>
      <c r="M20" s="440"/>
      <c r="N20" s="440"/>
      <c r="O20" s="440"/>
      <c r="P20" s="440"/>
      <c r="Q20" s="440"/>
      <c r="R20" s="440"/>
      <c r="S20" s="1064"/>
      <c r="T20" s="440"/>
      <c r="U20" s="215"/>
      <c r="V20" s="159"/>
      <c r="W20" s="159"/>
      <c r="X20" s="159"/>
    </row>
    <row r="21" spans="1:24" s="160" customFormat="1" ht="12" customHeight="1">
      <c r="A21" s="157"/>
      <c r="B21" s="156" t="s">
        <v>41</v>
      </c>
      <c r="C21" s="451" t="s">
        <v>73</v>
      </c>
      <c r="D21" s="440"/>
      <c r="E21" s="440"/>
      <c r="F21" s="440"/>
      <c r="G21" s="440"/>
      <c r="H21" s="440"/>
      <c r="I21" s="440"/>
      <c r="J21" s="440"/>
      <c r="K21" s="1064"/>
      <c r="L21" s="440"/>
      <c r="M21" s="440"/>
      <c r="N21" s="440"/>
      <c r="O21" s="440"/>
      <c r="P21" s="440"/>
      <c r="Q21" s="440"/>
      <c r="R21" s="440"/>
      <c r="S21" s="1064"/>
      <c r="T21" s="440"/>
      <c r="U21" s="215"/>
      <c r="V21" s="159"/>
      <c r="W21" s="159"/>
      <c r="X21" s="159"/>
    </row>
    <row r="22" spans="1:24" s="160" customFormat="1" ht="12" customHeight="1" thickBot="1">
      <c r="A22" s="157"/>
      <c r="B22" s="156" t="s">
        <v>271</v>
      </c>
      <c r="C22" s="451" t="s">
        <v>119</v>
      </c>
      <c r="D22" s="440"/>
      <c r="E22" s="440"/>
      <c r="F22" s="440"/>
      <c r="G22" s="440"/>
      <c r="H22" s="440"/>
      <c r="I22" s="440"/>
      <c r="J22" s="440"/>
      <c r="K22" s="1064"/>
      <c r="L22" s="440"/>
      <c r="M22" s="440"/>
      <c r="N22" s="440"/>
      <c r="O22" s="440"/>
      <c r="P22" s="440"/>
      <c r="Q22" s="440"/>
      <c r="R22" s="440"/>
      <c r="S22" s="1064"/>
      <c r="T22" s="440"/>
      <c r="U22" s="215"/>
      <c r="V22" s="159"/>
      <c r="W22" s="159"/>
      <c r="X22" s="159"/>
    </row>
    <row r="23" spans="1:24" s="160" customFormat="1" ht="12" customHeight="1" thickBot="1">
      <c r="A23" s="163" t="s">
        <v>10</v>
      </c>
      <c r="B23" s="164"/>
      <c r="C23" s="449" t="s">
        <v>122</v>
      </c>
      <c r="D23" s="438">
        <f aca="true" t="shared" si="6" ref="D23:I23">SUM(D24:D25)</f>
        <v>0</v>
      </c>
      <c r="E23" s="438">
        <f t="shared" si="6"/>
        <v>0</v>
      </c>
      <c r="F23" s="438">
        <f t="shared" si="6"/>
        <v>108000</v>
      </c>
      <c r="G23" s="438">
        <f t="shared" si="6"/>
        <v>108000</v>
      </c>
      <c r="H23" s="438">
        <f t="shared" si="6"/>
        <v>108000</v>
      </c>
      <c r="I23" s="438">
        <f t="shared" si="6"/>
        <v>108000</v>
      </c>
      <c r="J23" s="438">
        <f>SUM(J24:J25)</f>
        <v>108000</v>
      </c>
      <c r="K23" s="1059">
        <f>+J23/I23</f>
        <v>1</v>
      </c>
      <c r="L23" s="438">
        <f aca="true" t="shared" si="7" ref="L23:R23">SUM(L24:L25)</f>
        <v>0</v>
      </c>
      <c r="M23" s="438">
        <f t="shared" si="7"/>
        <v>0</v>
      </c>
      <c r="N23" s="438">
        <f t="shared" si="7"/>
        <v>108000</v>
      </c>
      <c r="O23" s="438">
        <f t="shared" si="7"/>
        <v>108000</v>
      </c>
      <c r="P23" s="438">
        <f t="shared" si="7"/>
        <v>108000</v>
      </c>
      <c r="Q23" s="438">
        <f t="shared" si="7"/>
        <v>108000</v>
      </c>
      <c r="R23" s="438">
        <f t="shared" si="7"/>
        <v>108000</v>
      </c>
      <c r="S23" s="1059">
        <f>+R23/Q23</f>
        <v>1</v>
      </c>
      <c r="T23" s="438"/>
      <c r="U23" s="214"/>
      <c r="V23" s="153"/>
      <c r="W23" s="153"/>
      <c r="X23" s="153"/>
    </row>
    <row r="24" spans="1:24" s="154" customFormat="1" ht="12" customHeight="1">
      <c r="A24" s="165"/>
      <c r="B24" s="166" t="s">
        <v>42</v>
      </c>
      <c r="C24" s="468" t="s">
        <v>124</v>
      </c>
      <c r="D24" s="441"/>
      <c r="E24" s="441"/>
      <c r="F24" s="441">
        <v>108000</v>
      </c>
      <c r="G24" s="441">
        <v>108000</v>
      </c>
      <c r="H24" s="441">
        <v>108000</v>
      </c>
      <c r="I24" s="441">
        <v>108000</v>
      </c>
      <c r="J24" s="441">
        <v>108000</v>
      </c>
      <c r="K24" s="1065">
        <f>+J24/I24</f>
        <v>1</v>
      </c>
      <c r="L24" s="441"/>
      <c r="M24" s="441"/>
      <c r="N24" s="441">
        <v>108000</v>
      </c>
      <c r="O24" s="441">
        <v>108000</v>
      </c>
      <c r="P24" s="441">
        <v>108000</v>
      </c>
      <c r="Q24" s="441">
        <v>108000</v>
      </c>
      <c r="R24" s="441">
        <v>108000</v>
      </c>
      <c r="S24" s="1065">
        <f>+R24/Q24</f>
        <v>1</v>
      </c>
      <c r="T24" s="441"/>
      <c r="U24" s="216"/>
      <c r="V24" s="168"/>
      <c r="W24" s="168"/>
      <c r="X24" s="168"/>
    </row>
    <row r="25" spans="1:24" s="154" customFormat="1" ht="12" customHeight="1" thickBot="1">
      <c r="A25" s="169"/>
      <c r="B25" s="170" t="s">
        <v>43</v>
      </c>
      <c r="C25" s="469" t="s">
        <v>126</v>
      </c>
      <c r="D25" s="442"/>
      <c r="E25" s="442"/>
      <c r="F25" s="442"/>
      <c r="G25" s="442"/>
      <c r="H25" s="442"/>
      <c r="I25" s="442"/>
      <c r="J25" s="442"/>
      <c r="K25" s="1066"/>
      <c r="L25" s="442"/>
      <c r="M25" s="442"/>
      <c r="N25" s="442"/>
      <c r="O25" s="442"/>
      <c r="P25" s="442"/>
      <c r="Q25" s="442"/>
      <c r="R25" s="442"/>
      <c r="S25" s="1066"/>
      <c r="T25" s="442"/>
      <c r="U25" s="217"/>
      <c r="V25" s="172"/>
      <c r="W25" s="172"/>
      <c r="X25" s="172"/>
    </row>
    <row r="26" spans="1:24" s="154" customFormat="1" ht="12" customHeight="1" thickBot="1">
      <c r="A26" s="163"/>
      <c r="B26" s="151"/>
      <c r="D26" s="443"/>
      <c r="E26" s="443"/>
      <c r="F26" s="443"/>
      <c r="G26" s="443"/>
      <c r="H26" s="443"/>
      <c r="I26" s="443"/>
      <c r="J26" s="443"/>
      <c r="K26" s="1067"/>
      <c r="L26" s="443"/>
      <c r="M26" s="443"/>
      <c r="N26" s="443"/>
      <c r="O26" s="443"/>
      <c r="P26" s="443"/>
      <c r="Q26" s="443"/>
      <c r="R26" s="443"/>
      <c r="S26" s="1067"/>
      <c r="T26" s="443"/>
      <c r="U26" s="218"/>
      <c r="V26" s="173"/>
      <c r="W26" s="173"/>
      <c r="X26" s="173"/>
    </row>
    <row r="27" spans="1:24" s="154" customFormat="1" ht="12" customHeight="1" thickBot="1">
      <c r="A27" s="145" t="s">
        <v>11</v>
      </c>
      <c r="B27" s="174"/>
      <c r="C27" s="449" t="s">
        <v>272</v>
      </c>
      <c r="D27" s="438">
        <f aca="true" t="shared" si="8" ref="D27:I27">D9+D18+D23+D26</f>
        <v>32986499</v>
      </c>
      <c r="E27" s="438">
        <f t="shared" si="8"/>
        <v>32986499</v>
      </c>
      <c r="F27" s="438">
        <f t="shared" si="8"/>
        <v>33101499</v>
      </c>
      <c r="G27" s="438">
        <f t="shared" si="8"/>
        <v>33101499</v>
      </c>
      <c r="H27" s="438">
        <f t="shared" si="8"/>
        <v>33101499</v>
      </c>
      <c r="I27" s="438">
        <f t="shared" si="8"/>
        <v>34648533</v>
      </c>
      <c r="J27" s="438">
        <f>J9+J18+J23+J26</f>
        <v>32670536</v>
      </c>
      <c r="K27" s="1059">
        <f>+J27/I27</f>
        <v>0.9429125325450287</v>
      </c>
      <c r="L27" s="438">
        <f aca="true" t="shared" si="9" ref="L27:R27">L9+L18+L23+L26</f>
        <v>32986499</v>
      </c>
      <c r="M27" s="438">
        <f t="shared" si="9"/>
        <v>32986499</v>
      </c>
      <c r="N27" s="438">
        <f t="shared" si="9"/>
        <v>33101499</v>
      </c>
      <c r="O27" s="438">
        <f t="shared" si="9"/>
        <v>33101499</v>
      </c>
      <c r="P27" s="438">
        <f t="shared" si="9"/>
        <v>33101499</v>
      </c>
      <c r="Q27" s="438">
        <f t="shared" si="9"/>
        <v>34648533</v>
      </c>
      <c r="R27" s="438">
        <f t="shared" si="9"/>
        <v>32670536</v>
      </c>
      <c r="S27" s="1059">
        <f>+R27/Q27</f>
        <v>0.9429125325450287</v>
      </c>
      <c r="T27" s="438"/>
      <c r="U27" s="214"/>
      <c r="V27" s="153"/>
      <c r="W27" s="153"/>
      <c r="X27" s="153"/>
    </row>
    <row r="28" spans="1:24" s="160" customFormat="1" ht="12" customHeight="1" thickBot="1">
      <c r="A28" s="175" t="s">
        <v>12</v>
      </c>
      <c r="B28" s="176"/>
      <c r="C28" s="470" t="s">
        <v>273</v>
      </c>
      <c r="D28" s="444">
        <f aca="true" t="shared" si="10" ref="D28:I28">SUM(D29:D31)</f>
        <v>100017390</v>
      </c>
      <c r="E28" s="444">
        <f t="shared" si="10"/>
        <v>100032389</v>
      </c>
      <c r="F28" s="444">
        <f t="shared" si="10"/>
        <v>100048704</v>
      </c>
      <c r="G28" s="444">
        <f t="shared" si="10"/>
        <v>100048704</v>
      </c>
      <c r="H28" s="444">
        <f t="shared" si="10"/>
        <v>100486901</v>
      </c>
      <c r="I28" s="444">
        <f t="shared" si="10"/>
        <v>91400672</v>
      </c>
      <c r="J28" s="444">
        <f>SUM(J29:J31)</f>
        <v>91400672</v>
      </c>
      <c r="K28" s="1068">
        <f>+J28/I28</f>
        <v>1</v>
      </c>
      <c r="L28" s="444">
        <f aca="true" t="shared" si="11" ref="L28:R28">SUM(L29:L31)</f>
        <v>100017390</v>
      </c>
      <c r="M28" s="444">
        <f t="shared" si="11"/>
        <v>100032389</v>
      </c>
      <c r="N28" s="444">
        <f t="shared" si="11"/>
        <v>100048704</v>
      </c>
      <c r="O28" s="444">
        <f t="shared" si="11"/>
        <v>100048704</v>
      </c>
      <c r="P28" s="444">
        <f t="shared" si="11"/>
        <v>100486901</v>
      </c>
      <c r="Q28" s="444">
        <f t="shared" si="11"/>
        <v>91400672</v>
      </c>
      <c r="R28" s="444">
        <f t="shared" si="11"/>
        <v>91400672</v>
      </c>
      <c r="S28" s="1068">
        <f>+R28/Q28</f>
        <v>1</v>
      </c>
      <c r="T28" s="438"/>
      <c r="U28" s="214"/>
      <c r="V28" s="153"/>
      <c r="W28" s="153"/>
      <c r="X28" s="153"/>
    </row>
    <row r="29" spans="1:24" s="160" customFormat="1" ht="15" customHeight="1" thickBot="1">
      <c r="A29" s="155"/>
      <c r="B29" s="178" t="s">
        <v>44</v>
      </c>
      <c r="C29" s="468" t="s">
        <v>131</v>
      </c>
      <c r="D29" s="441">
        <v>1765083</v>
      </c>
      <c r="E29" s="441">
        <v>1765083</v>
      </c>
      <c r="F29" s="441">
        <v>1765083</v>
      </c>
      <c r="G29" s="441">
        <v>1765083</v>
      </c>
      <c r="H29" s="441">
        <v>1765083</v>
      </c>
      <c r="I29" s="441">
        <v>1765083</v>
      </c>
      <c r="J29" s="441">
        <v>1765083</v>
      </c>
      <c r="K29" s="1065">
        <f>+J29/I29</f>
        <v>1</v>
      </c>
      <c r="L29" s="441">
        <v>1765083</v>
      </c>
      <c r="M29" s="441">
        <v>1765083</v>
      </c>
      <c r="N29" s="441">
        <v>1765083</v>
      </c>
      <c r="O29" s="441">
        <v>1765083</v>
      </c>
      <c r="P29" s="441">
        <v>1765083</v>
      </c>
      <c r="Q29" s="441">
        <v>1765083</v>
      </c>
      <c r="R29" s="441">
        <v>1765083</v>
      </c>
      <c r="S29" s="1065">
        <f>+R29/Q29</f>
        <v>1</v>
      </c>
      <c r="T29" s="447"/>
      <c r="U29" s="448"/>
      <c r="V29" s="275"/>
      <c r="W29" s="275"/>
      <c r="X29" s="275"/>
    </row>
    <row r="30" spans="1:24" s="160" customFormat="1" ht="15" customHeight="1">
      <c r="A30" s="570"/>
      <c r="B30" s="571" t="s">
        <v>45</v>
      </c>
      <c r="C30" s="468" t="s">
        <v>448</v>
      </c>
      <c r="D30" s="572">
        <v>98252307</v>
      </c>
      <c r="E30" s="572">
        <f>98252307+14999</f>
        <v>98267306</v>
      </c>
      <c r="F30" s="572">
        <f>98252307+14999+4445+11870</f>
        <v>98283621</v>
      </c>
      <c r="G30" s="572">
        <f>98252307+14999+4445+11870</f>
        <v>98283621</v>
      </c>
      <c r="H30" s="572">
        <f>98252307+14999+4445+11870+438197</f>
        <v>98721818</v>
      </c>
      <c r="I30" s="572">
        <v>89635589</v>
      </c>
      <c r="J30" s="572">
        <v>89635589</v>
      </c>
      <c r="K30" s="1069">
        <f>+J30/I30</f>
        <v>1</v>
      </c>
      <c r="L30" s="572">
        <v>98252307</v>
      </c>
      <c r="M30" s="572">
        <f>98252307+14999</f>
        <v>98267306</v>
      </c>
      <c r="N30" s="572">
        <f>98252307+14999+4445+11870</f>
        <v>98283621</v>
      </c>
      <c r="O30" s="572">
        <f>98252307+14999+4445+11870</f>
        <v>98283621</v>
      </c>
      <c r="P30" s="572">
        <f>98252307+14999+4445+11870+438197</f>
        <v>98721818</v>
      </c>
      <c r="Q30" s="572">
        <v>89635589</v>
      </c>
      <c r="R30" s="572">
        <v>89635589</v>
      </c>
      <c r="S30" s="1069">
        <f>+R30/Q30</f>
        <v>1</v>
      </c>
      <c r="T30" s="574"/>
      <c r="U30" s="575"/>
      <c r="V30" s="576"/>
      <c r="W30" s="576"/>
      <c r="X30" s="576"/>
    </row>
    <row r="31" spans="1:24" s="160" customFormat="1" ht="15" customHeight="1" thickBot="1">
      <c r="A31" s="179"/>
      <c r="B31" s="180" t="s">
        <v>71</v>
      </c>
      <c r="C31" s="471" t="s">
        <v>133</v>
      </c>
      <c r="D31" s="445"/>
      <c r="E31" s="445"/>
      <c r="F31" s="445"/>
      <c r="G31" s="445"/>
      <c r="H31" s="445"/>
      <c r="I31" s="445"/>
      <c r="J31" s="445"/>
      <c r="K31" s="1070"/>
      <c r="L31" s="445"/>
      <c r="M31" s="445"/>
      <c r="N31" s="445"/>
      <c r="O31" s="445"/>
      <c r="P31" s="445"/>
      <c r="Q31" s="445"/>
      <c r="R31" s="445"/>
      <c r="S31" s="1070"/>
      <c r="T31" s="445"/>
      <c r="U31" s="220"/>
      <c r="V31" s="182"/>
      <c r="W31" s="182"/>
      <c r="X31" s="182"/>
    </row>
    <row r="32" spans="1:24" ht="13.5" thickBot="1">
      <c r="A32" s="183" t="s">
        <v>13</v>
      </c>
      <c r="B32" s="307"/>
      <c r="C32" s="453" t="s">
        <v>134</v>
      </c>
      <c r="D32" s="443"/>
      <c r="E32" s="443"/>
      <c r="F32" s="443"/>
      <c r="G32" s="443"/>
      <c r="H32" s="443"/>
      <c r="I32" s="443"/>
      <c r="J32" s="443"/>
      <c r="K32" s="1067"/>
      <c r="L32" s="443"/>
      <c r="M32" s="443"/>
      <c r="N32" s="443"/>
      <c r="O32" s="443"/>
      <c r="P32" s="443"/>
      <c r="Q32" s="443"/>
      <c r="R32" s="443"/>
      <c r="S32" s="1067"/>
      <c r="T32" s="443"/>
      <c r="U32" s="218"/>
      <c r="V32" s="173"/>
      <c r="W32" s="173"/>
      <c r="X32" s="173"/>
    </row>
    <row r="33" spans="1:24" s="148" customFormat="1" ht="16.5" customHeight="1" thickBot="1">
      <c r="A33" s="183">
        <v>7</v>
      </c>
      <c r="B33" s="308"/>
      <c r="C33" s="472" t="s">
        <v>274</v>
      </c>
      <c r="D33" s="446">
        <f aca="true" t="shared" si="12" ref="D33:I33">D27+D32+D28</f>
        <v>133003889</v>
      </c>
      <c r="E33" s="446">
        <f t="shared" si="12"/>
        <v>133018888</v>
      </c>
      <c r="F33" s="446">
        <f t="shared" si="12"/>
        <v>133150203</v>
      </c>
      <c r="G33" s="446">
        <f t="shared" si="12"/>
        <v>133150203</v>
      </c>
      <c r="H33" s="446">
        <f t="shared" si="12"/>
        <v>133588400</v>
      </c>
      <c r="I33" s="446">
        <f t="shared" si="12"/>
        <v>126049205</v>
      </c>
      <c r="J33" s="446">
        <f>J27+J32+J28</f>
        <v>124071208</v>
      </c>
      <c r="K33" s="1071">
        <f>+J33/I33</f>
        <v>0.9843077391880417</v>
      </c>
      <c r="L33" s="446">
        <f aca="true" t="shared" si="13" ref="L33:R33">L27+L32+L28</f>
        <v>133003889</v>
      </c>
      <c r="M33" s="446">
        <f t="shared" si="13"/>
        <v>133018888</v>
      </c>
      <c r="N33" s="446">
        <f t="shared" si="13"/>
        <v>133150203</v>
      </c>
      <c r="O33" s="446">
        <f t="shared" si="13"/>
        <v>133150203</v>
      </c>
      <c r="P33" s="446">
        <f t="shared" si="13"/>
        <v>133588400</v>
      </c>
      <c r="Q33" s="446">
        <f t="shared" si="13"/>
        <v>126049205</v>
      </c>
      <c r="R33" s="446">
        <f t="shared" si="13"/>
        <v>124071208</v>
      </c>
      <c r="S33" s="1071">
        <f>+R33/Q33</f>
        <v>0.9843077391880417</v>
      </c>
      <c r="T33" s="446"/>
      <c r="U33" s="221"/>
      <c r="V33" s="206"/>
      <c r="W33" s="206"/>
      <c r="X33" s="206"/>
    </row>
    <row r="34" spans="1:24" s="192" customFormat="1" ht="12" customHeight="1">
      <c r="A34" s="189"/>
      <c r="B34" s="189"/>
      <c r="C34" s="190"/>
      <c r="D34" s="191"/>
      <c r="E34" s="191"/>
      <c r="F34" s="191"/>
      <c r="G34" s="191"/>
      <c r="H34" s="191"/>
      <c r="I34" s="191"/>
      <c r="J34" s="191"/>
      <c r="K34" s="1072"/>
      <c r="L34" s="191"/>
      <c r="M34" s="191"/>
      <c r="N34" s="191"/>
      <c r="O34" s="191"/>
      <c r="P34" s="191"/>
      <c r="Q34" s="191"/>
      <c r="R34" s="191"/>
      <c r="S34" s="1072"/>
      <c r="T34" s="191"/>
      <c r="U34" s="191"/>
      <c r="V34" s="191"/>
      <c r="W34" s="191"/>
      <c r="X34" s="191"/>
    </row>
    <row r="35" spans="1:24" ht="12" customHeight="1" thickBot="1">
      <c r="A35" s="193"/>
      <c r="B35" s="194"/>
      <c r="C35" s="194"/>
      <c r="D35" s="195"/>
      <c r="E35" s="195"/>
      <c r="F35" s="195"/>
      <c r="G35" s="195"/>
      <c r="H35" s="195"/>
      <c r="I35" s="195"/>
      <c r="J35" s="195"/>
      <c r="K35" s="1073"/>
      <c r="L35" s="195"/>
      <c r="M35" s="195"/>
      <c r="N35" s="195"/>
      <c r="O35" s="195"/>
      <c r="P35" s="195"/>
      <c r="Q35" s="195"/>
      <c r="R35" s="195"/>
      <c r="S35" s="1073"/>
      <c r="T35" s="195"/>
      <c r="U35" s="195"/>
      <c r="V35" s="195"/>
      <c r="W35" s="195"/>
      <c r="X35" s="195"/>
    </row>
    <row r="36" spans="1:24" ht="12" customHeight="1" thickBot="1">
      <c r="A36" s="196"/>
      <c r="B36" s="197"/>
      <c r="C36" s="198" t="s">
        <v>136</v>
      </c>
      <c r="D36" s="446"/>
      <c r="E36" s="446"/>
      <c r="F36" s="446"/>
      <c r="G36" s="446"/>
      <c r="H36" s="221"/>
      <c r="I36" s="221"/>
      <c r="J36" s="221"/>
      <c r="K36" s="1074"/>
      <c r="L36" s="446"/>
      <c r="M36" s="446"/>
      <c r="N36" s="221"/>
      <c r="O36" s="221"/>
      <c r="P36" s="221"/>
      <c r="Q36" s="221"/>
      <c r="R36" s="221"/>
      <c r="S36" s="1074"/>
      <c r="T36" s="446"/>
      <c r="U36" s="221"/>
      <c r="V36" s="206"/>
      <c r="W36" s="206"/>
      <c r="X36" s="206"/>
    </row>
    <row r="37" spans="1:24" ht="12" customHeight="1" thickBot="1">
      <c r="A37" s="163" t="s">
        <v>27</v>
      </c>
      <c r="B37" s="199"/>
      <c r="C37" s="449" t="s">
        <v>137</v>
      </c>
      <c r="D37" s="438">
        <f aca="true" t="shared" si="14" ref="D37:I37">SUM(D38:D42)</f>
        <v>133003889</v>
      </c>
      <c r="E37" s="438">
        <f t="shared" si="14"/>
        <v>133003889</v>
      </c>
      <c r="F37" s="438">
        <f>SUM(F38:F42)</f>
        <v>133130759</v>
      </c>
      <c r="G37" s="438">
        <f>SUM(G38:G42)</f>
        <v>133130759</v>
      </c>
      <c r="H37" s="438">
        <f>SUM(H38:H42)</f>
        <v>133568956</v>
      </c>
      <c r="I37" s="438">
        <f t="shared" si="14"/>
        <v>125838984</v>
      </c>
      <c r="J37" s="438">
        <f>SUM(J38:J42)</f>
        <v>122721216</v>
      </c>
      <c r="K37" s="1059">
        <f>+J37/I37</f>
        <v>0.9752241483449994</v>
      </c>
      <c r="L37" s="438">
        <f aca="true" t="shared" si="15" ref="L37:R37">SUM(L38:L42)</f>
        <v>133003889</v>
      </c>
      <c r="M37" s="438">
        <f t="shared" si="15"/>
        <v>133003889</v>
      </c>
      <c r="N37" s="438">
        <f t="shared" si="15"/>
        <v>133130759</v>
      </c>
      <c r="O37" s="438">
        <f t="shared" si="15"/>
        <v>133130759</v>
      </c>
      <c r="P37" s="438">
        <f t="shared" si="15"/>
        <v>133568956</v>
      </c>
      <c r="Q37" s="438">
        <f t="shared" si="15"/>
        <v>125838984</v>
      </c>
      <c r="R37" s="438">
        <f t="shared" si="15"/>
        <v>122721216</v>
      </c>
      <c r="S37" s="1059">
        <f>+R37/Q37</f>
        <v>0.9752241483449994</v>
      </c>
      <c r="T37" s="438"/>
      <c r="U37" s="214"/>
      <c r="V37" s="153"/>
      <c r="W37" s="153"/>
      <c r="X37" s="153"/>
    </row>
    <row r="38" spans="1:24" ht="12" customHeight="1">
      <c r="A38" s="200"/>
      <c r="B38" s="201" t="s">
        <v>111</v>
      </c>
      <c r="C38" s="450" t="s">
        <v>138</v>
      </c>
      <c r="D38" s="456">
        <v>65356366</v>
      </c>
      <c r="E38" s="456">
        <v>65356366</v>
      </c>
      <c r="F38" s="456">
        <f>65356366-65180</f>
        <v>65291186</v>
      </c>
      <c r="G38" s="456">
        <f>65356366-65180</f>
        <v>65291186</v>
      </c>
      <c r="H38" s="456">
        <f>65356366-65180-200000</f>
        <v>65091186</v>
      </c>
      <c r="I38" s="222">
        <v>63467692</v>
      </c>
      <c r="J38" s="222">
        <v>62897106</v>
      </c>
      <c r="K38" s="1075">
        <f>+J38/I38</f>
        <v>0.9910098196102672</v>
      </c>
      <c r="L38" s="456">
        <v>65356366</v>
      </c>
      <c r="M38" s="456">
        <v>65356366</v>
      </c>
      <c r="N38" s="456">
        <f>65356366-65180</f>
        <v>65291186</v>
      </c>
      <c r="O38" s="456">
        <f>65356366-65180</f>
        <v>65291186</v>
      </c>
      <c r="P38" s="456">
        <f>65356366-65180-200000</f>
        <v>65091186</v>
      </c>
      <c r="Q38" s="222">
        <v>63467692</v>
      </c>
      <c r="R38" s="222">
        <v>62897106</v>
      </c>
      <c r="S38" s="1075">
        <f>+R38/Q38</f>
        <v>0.9910098196102672</v>
      </c>
      <c r="T38" s="440"/>
      <c r="U38" s="215"/>
      <c r="V38" s="159"/>
      <c r="W38" s="159"/>
      <c r="X38" s="159"/>
    </row>
    <row r="39" spans="1:24" ht="12" customHeight="1">
      <c r="A39" s="202"/>
      <c r="B39" s="203" t="s">
        <v>112</v>
      </c>
      <c r="C39" s="451" t="s">
        <v>51</v>
      </c>
      <c r="D39" s="457">
        <v>14810593</v>
      </c>
      <c r="E39" s="457">
        <v>14810593</v>
      </c>
      <c r="F39" s="457">
        <v>14810593</v>
      </c>
      <c r="G39" s="457">
        <v>14810593</v>
      </c>
      <c r="H39" s="457">
        <f>20853-39600+14810593</f>
        <v>14791846</v>
      </c>
      <c r="I39" s="223">
        <v>14851979</v>
      </c>
      <c r="J39" s="223">
        <v>14483275</v>
      </c>
      <c r="K39" s="1076">
        <f>+J39/I39</f>
        <v>0.9751747561722246</v>
      </c>
      <c r="L39" s="457">
        <v>14810593</v>
      </c>
      <c r="M39" s="457">
        <v>14810593</v>
      </c>
      <c r="N39" s="457">
        <v>14810593</v>
      </c>
      <c r="O39" s="457">
        <v>14810593</v>
      </c>
      <c r="P39" s="457">
        <f>20853-39600+14810593</f>
        <v>14791846</v>
      </c>
      <c r="Q39" s="223">
        <v>14851979</v>
      </c>
      <c r="R39" s="223">
        <v>14483275</v>
      </c>
      <c r="S39" s="1076">
        <f>+R39/Q39</f>
        <v>0.9751747561722246</v>
      </c>
      <c r="T39" s="440"/>
      <c r="U39" s="215"/>
      <c r="V39" s="159"/>
      <c r="W39" s="159"/>
      <c r="X39" s="159"/>
    </row>
    <row r="40" spans="1:24" ht="12" customHeight="1">
      <c r="A40" s="202"/>
      <c r="B40" s="203" t="s">
        <v>113</v>
      </c>
      <c r="C40" s="451" t="s">
        <v>139</v>
      </c>
      <c r="D40" s="457">
        <v>52836930</v>
      </c>
      <c r="E40" s="457">
        <v>52836930</v>
      </c>
      <c r="F40" s="457">
        <f>52836930+192050</f>
        <v>53028980</v>
      </c>
      <c r="G40" s="457">
        <f>52836930+192050</f>
        <v>53028980</v>
      </c>
      <c r="H40" s="457">
        <f>52836930+192050+438197+218747</f>
        <v>53685924</v>
      </c>
      <c r="I40" s="223">
        <v>47519313</v>
      </c>
      <c r="J40" s="223">
        <v>45340835</v>
      </c>
      <c r="K40" s="1076">
        <f>+J40/I40</f>
        <v>0.9541559449733628</v>
      </c>
      <c r="L40" s="457">
        <v>52836930</v>
      </c>
      <c r="M40" s="457">
        <v>52836930</v>
      </c>
      <c r="N40" s="457">
        <f>52836930+192050</f>
        <v>53028980</v>
      </c>
      <c r="O40" s="457">
        <f>52836930+192050</f>
        <v>53028980</v>
      </c>
      <c r="P40" s="457">
        <f>52836930+192050+438197+218747</f>
        <v>53685924</v>
      </c>
      <c r="Q40" s="223">
        <v>47519313</v>
      </c>
      <c r="R40" s="223">
        <v>45340835</v>
      </c>
      <c r="S40" s="1076">
        <f>+R40/Q40</f>
        <v>0.9541559449733628</v>
      </c>
      <c r="T40" s="440"/>
      <c r="U40" s="215"/>
      <c r="V40" s="159"/>
      <c r="W40" s="159"/>
      <c r="X40" s="159"/>
    </row>
    <row r="41" spans="1:24" s="192" customFormat="1" ht="12" customHeight="1">
      <c r="A41" s="202"/>
      <c r="B41" s="203" t="s">
        <v>114</v>
      </c>
      <c r="C41" s="451" t="s">
        <v>81</v>
      </c>
      <c r="D41" s="457"/>
      <c r="E41" s="457"/>
      <c r="F41" s="457"/>
      <c r="G41" s="457"/>
      <c r="H41" s="457"/>
      <c r="I41" s="223"/>
      <c r="J41" s="223"/>
      <c r="K41" s="1076"/>
      <c r="L41" s="457"/>
      <c r="M41" s="457"/>
      <c r="N41" s="457"/>
      <c r="O41" s="457"/>
      <c r="P41" s="457"/>
      <c r="Q41" s="223"/>
      <c r="R41" s="223"/>
      <c r="S41" s="1076"/>
      <c r="T41" s="440"/>
      <c r="U41" s="215"/>
      <c r="V41" s="159"/>
      <c r="W41" s="159"/>
      <c r="X41" s="159"/>
    </row>
    <row r="42" spans="1:24" ht="12" customHeight="1" thickBot="1">
      <c r="A42" s="202"/>
      <c r="B42" s="203" t="s">
        <v>50</v>
      </c>
      <c r="C42" s="451" t="s">
        <v>83</v>
      </c>
      <c r="D42" s="457"/>
      <c r="E42" s="457"/>
      <c r="F42" s="457"/>
      <c r="G42" s="457"/>
      <c r="H42" s="457"/>
      <c r="I42" s="223"/>
      <c r="J42" s="223"/>
      <c r="K42" s="1076"/>
      <c r="L42" s="457"/>
      <c r="M42" s="457"/>
      <c r="N42" s="457"/>
      <c r="O42" s="457"/>
      <c r="P42" s="457"/>
      <c r="Q42" s="223"/>
      <c r="R42" s="223"/>
      <c r="S42" s="1076"/>
      <c r="T42" s="457"/>
      <c r="U42" s="223"/>
      <c r="V42" s="204"/>
      <c r="W42" s="204"/>
      <c r="X42" s="204"/>
    </row>
    <row r="43" spans="1:24" ht="12" customHeight="1" thickBot="1">
      <c r="A43" s="163" t="s">
        <v>28</v>
      </c>
      <c r="B43" s="199"/>
      <c r="C43" s="449" t="s">
        <v>140</v>
      </c>
      <c r="D43" s="438">
        <f aca="true" t="shared" si="16" ref="D43:I43">SUM(D44:D48)</f>
        <v>0</v>
      </c>
      <c r="E43" s="438">
        <f t="shared" si="16"/>
        <v>14999</v>
      </c>
      <c r="F43" s="438">
        <f t="shared" si="16"/>
        <v>19444</v>
      </c>
      <c r="G43" s="438">
        <f t="shared" si="16"/>
        <v>19444</v>
      </c>
      <c r="H43" s="438">
        <f t="shared" si="16"/>
        <v>19444</v>
      </c>
      <c r="I43" s="438">
        <f t="shared" si="16"/>
        <v>210221</v>
      </c>
      <c r="J43" s="438">
        <f>SUM(J44:J48)</f>
        <v>210221</v>
      </c>
      <c r="K43" s="1059">
        <f>+J43/I43</f>
        <v>1</v>
      </c>
      <c r="L43" s="438">
        <f aca="true" t="shared" si="17" ref="L43:R43">SUM(L44:L48)</f>
        <v>0</v>
      </c>
      <c r="M43" s="438">
        <f t="shared" si="17"/>
        <v>14999</v>
      </c>
      <c r="N43" s="438">
        <f t="shared" si="17"/>
        <v>19444</v>
      </c>
      <c r="O43" s="438">
        <f t="shared" si="17"/>
        <v>19444</v>
      </c>
      <c r="P43" s="438">
        <f t="shared" si="17"/>
        <v>19444</v>
      </c>
      <c r="Q43" s="438">
        <f t="shared" si="17"/>
        <v>210221</v>
      </c>
      <c r="R43" s="438">
        <f t="shared" si="17"/>
        <v>210221</v>
      </c>
      <c r="S43" s="1059">
        <f>+R43/Q43</f>
        <v>1</v>
      </c>
      <c r="T43" s="438"/>
      <c r="U43" s="214"/>
      <c r="V43" s="153"/>
      <c r="W43" s="153"/>
      <c r="X43" s="153"/>
    </row>
    <row r="44" spans="1:24" ht="12" customHeight="1">
      <c r="A44" s="200"/>
      <c r="B44" s="201" t="s">
        <v>141</v>
      </c>
      <c r="C44" s="450" t="s">
        <v>93</v>
      </c>
      <c r="D44" s="456"/>
      <c r="E44" s="456">
        <v>14999</v>
      </c>
      <c r="F44" s="456">
        <f>14999+4445</f>
        <v>19444</v>
      </c>
      <c r="G44" s="456">
        <f>14999+4445</f>
        <v>19444</v>
      </c>
      <c r="H44" s="456">
        <f>14999+4445</f>
        <v>19444</v>
      </c>
      <c r="I44" s="222">
        <v>210221</v>
      </c>
      <c r="J44" s="222">
        <v>210221</v>
      </c>
      <c r="K44" s="1075">
        <f>+J44/I44</f>
        <v>1</v>
      </c>
      <c r="L44" s="456"/>
      <c r="M44" s="456">
        <v>14999</v>
      </c>
      <c r="N44" s="456">
        <f>14999+4445</f>
        <v>19444</v>
      </c>
      <c r="O44" s="456">
        <f>14999+4445</f>
        <v>19444</v>
      </c>
      <c r="P44" s="456">
        <f>14999+4445</f>
        <v>19444</v>
      </c>
      <c r="Q44" s="222">
        <v>210221</v>
      </c>
      <c r="R44" s="222">
        <v>210221</v>
      </c>
      <c r="S44" s="1075">
        <f>+R44/Q44</f>
        <v>1</v>
      </c>
      <c r="T44" s="440"/>
      <c r="U44" s="215"/>
      <c r="V44" s="159"/>
      <c r="W44" s="159"/>
      <c r="X44" s="159"/>
    </row>
    <row r="45" spans="1:24" ht="12" customHeight="1">
      <c r="A45" s="200"/>
      <c r="B45" s="201"/>
      <c r="C45" s="450" t="s">
        <v>348</v>
      </c>
      <c r="D45" s="456"/>
      <c r="E45" s="456"/>
      <c r="F45" s="456"/>
      <c r="G45" s="456"/>
      <c r="H45" s="456"/>
      <c r="I45" s="222"/>
      <c r="J45" s="222"/>
      <c r="K45" s="1075"/>
      <c r="L45" s="456"/>
      <c r="M45" s="456"/>
      <c r="N45" s="456"/>
      <c r="O45" s="456"/>
      <c r="P45" s="456"/>
      <c r="Q45" s="222"/>
      <c r="R45" s="222"/>
      <c r="S45" s="1075"/>
      <c r="T45" s="440"/>
      <c r="U45" s="215"/>
      <c r="V45" s="159"/>
      <c r="W45" s="159"/>
      <c r="X45" s="159"/>
    </row>
    <row r="46" spans="1:24" ht="12" customHeight="1">
      <c r="A46" s="202"/>
      <c r="B46" s="203" t="s">
        <v>142</v>
      </c>
      <c r="C46" s="451" t="s">
        <v>94</v>
      </c>
      <c r="D46" s="457"/>
      <c r="E46" s="457"/>
      <c r="F46" s="457"/>
      <c r="G46" s="457"/>
      <c r="H46" s="457"/>
      <c r="I46" s="223"/>
      <c r="J46" s="223"/>
      <c r="K46" s="1076"/>
      <c r="L46" s="457"/>
      <c r="M46" s="457"/>
      <c r="N46" s="457"/>
      <c r="O46" s="457"/>
      <c r="P46" s="457"/>
      <c r="Q46" s="223"/>
      <c r="R46" s="223"/>
      <c r="S46" s="1076"/>
      <c r="T46" s="457"/>
      <c r="U46" s="223"/>
      <c r="V46" s="204"/>
      <c r="W46" s="204"/>
      <c r="X46" s="204"/>
    </row>
    <row r="47" spans="1:24" ht="15" customHeight="1">
      <c r="A47" s="202"/>
      <c r="B47" s="203" t="s">
        <v>41</v>
      </c>
      <c r="C47" s="451" t="s">
        <v>144</v>
      </c>
      <c r="D47" s="457"/>
      <c r="E47" s="457"/>
      <c r="F47" s="457"/>
      <c r="G47" s="457"/>
      <c r="H47" s="457"/>
      <c r="I47" s="223"/>
      <c r="J47" s="223"/>
      <c r="K47" s="1076"/>
      <c r="L47" s="457"/>
      <c r="M47" s="457"/>
      <c r="N47" s="457"/>
      <c r="O47" s="457"/>
      <c r="P47" s="457"/>
      <c r="Q47" s="223"/>
      <c r="R47" s="223"/>
      <c r="S47" s="1076"/>
      <c r="T47" s="457"/>
      <c r="U47" s="223"/>
      <c r="V47" s="204"/>
      <c r="W47" s="204"/>
      <c r="X47" s="204"/>
    </row>
    <row r="48" spans="1:24" ht="13.5" thickBot="1">
      <c r="A48" s="202"/>
      <c r="B48" s="203" t="s">
        <v>271</v>
      </c>
      <c r="C48" s="451" t="s">
        <v>146</v>
      </c>
      <c r="D48" s="457"/>
      <c r="E48" s="457"/>
      <c r="F48" s="457"/>
      <c r="G48" s="457"/>
      <c r="H48" s="457"/>
      <c r="I48" s="223"/>
      <c r="J48" s="223"/>
      <c r="K48" s="1076"/>
      <c r="L48" s="457"/>
      <c r="M48" s="457"/>
      <c r="N48" s="457"/>
      <c r="O48" s="457"/>
      <c r="P48" s="457"/>
      <c r="Q48" s="223"/>
      <c r="R48" s="223"/>
      <c r="S48" s="1076"/>
      <c r="T48" s="457"/>
      <c r="U48" s="223"/>
      <c r="V48" s="204"/>
      <c r="W48" s="204"/>
      <c r="X48" s="204"/>
    </row>
    <row r="49" spans="1:24" ht="15" customHeight="1" thickBot="1">
      <c r="A49" s="163" t="s">
        <v>10</v>
      </c>
      <c r="B49" s="199"/>
      <c r="C49" s="452" t="s">
        <v>147</v>
      </c>
      <c r="D49" s="443"/>
      <c r="E49" s="443"/>
      <c r="F49" s="443"/>
      <c r="G49" s="443"/>
      <c r="H49" s="443"/>
      <c r="I49" s="218"/>
      <c r="J49" s="218"/>
      <c r="K49" s="1052"/>
      <c r="L49" s="443"/>
      <c r="M49" s="443"/>
      <c r="N49" s="443"/>
      <c r="O49" s="443"/>
      <c r="P49" s="443"/>
      <c r="Q49" s="218"/>
      <c r="R49" s="218"/>
      <c r="S49" s="1052"/>
      <c r="T49" s="443"/>
      <c r="U49" s="218"/>
      <c r="V49" s="173"/>
      <c r="W49" s="173"/>
      <c r="X49" s="173"/>
    </row>
    <row r="50" spans="1:24" ht="14.25" customHeight="1" thickBot="1">
      <c r="A50" s="183" t="s">
        <v>11</v>
      </c>
      <c r="B50" s="307"/>
      <c r="C50" s="453" t="s">
        <v>148</v>
      </c>
      <c r="D50" s="443"/>
      <c r="E50" s="443"/>
      <c r="F50" s="443"/>
      <c r="G50" s="443"/>
      <c r="H50" s="443"/>
      <c r="I50" s="218"/>
      <c r="J50" s="218"/>
      <c r="K50" s="1052"/>
      <c r="L50" s="443"/>
      <c r="M50" s="443"/>
      <c r="N50" s="443"/>
      <c r="O50" s="443"/>
      <c r="P50" s="443"/>
      <c r="Q50" s="218"/>
      <c r="R50" s="218"/>
      <c r="S50" s="1052"/>
      <c r="T50" s="443"/>
      <c r="U50" s="218"/>
      <c r="V50" s="173"/>
      <c r="W50" s="173"/>
      <c r="X50" s="173"/>
    </row>
    <row r="51" spans="1:24" ht="13.5" thickBot="1">
      <c r="A51" s="163">
        <v>5</v>
      </c>
      <c r="B51" s="205"/>
      <c r="C51" s="454" t="s">
        <v>275</v>
      </c>
      <c r="D51" s="446">
        <f aca="true" t="shared" si="18" ref="D51:I51">D37+D43+D49+D50</f>
        <v>133003889</v>
      </c>
      <c r="E51" s="446">
        <f t="shared" si="18"/>
        <v>133018888</v>
      </c>
      <c r="F51" s="446">
        <f>F37+F43+F49+F50</f>
        <v>133150203</v>
      </c>
      <c r="G51" s="446">
        <f>G37+G43+G49+G50</f>
        <v>133150203</v>
      </c>
      <c r="H51" s="446">
        <f>H37+H43+H49+H50</f>
        <v>133588400</v>
      </c>
      <c r="I51" s="446">
        <f t="shared" si="18"/>
        <v>126049205</v>
      </c>
      <c r="J51" s="446">
        <f>J37+J43+J49+J50</f>
        <v>122931437</v>
      </c>
      <c r="K51" s="1071">
        <f>+J51/I51</f>
        <v>0.9752654687508739</v>
      </c>
      <c r="L51" s="446">
        <f aca="true" t="shared" si="19" ref="L51:R51">L37+L43+L49+L50</f>
        <v>133003889</v>
      </c>
      <c r="M51" s="446">
        <f t="shared" si="19"/>
        <v>133018888</v>
      </c>
      <c r="N51" s="446">
        <f t="shared" si="19"/>
        <v>133150203</v>
      </c>
      <c r="O51" s="446">
        <f t="shared" si="19"/>
        <v>133150203</v>
      </c>
      <c r="P51" s="446">
        <f t="shared" si="19"/>
        <v>133588400</v>
      </c>
      <c r="Q51" s="446">
        <f t="shared" si="19"/>
        <v>126049205</v>
      </c>
      <c r="R51" s="446">
        <f t="shared" si="19"/>
        <v>122931437</v>
      </c>
      <c r="S51" s="1071">
        <f>+R51/Q51</f>
        <v>0.9752654687508739</v>
      </c>
      <c r="T51" s="446"/>
      <c r="U51" s="221"/>
      <c r="V51" s="206"/>
      <c r="W51" s="206"/>
      <c r="X51" s="206"/>
    </row>
    <row r="52" spans="1:24" ht="13.5" thickBot="1">
      <c r="A52" s="309"/>
      <c r="B52" s="310"/>
      <c r="C52" s="310"/>
      <c r="D52" s="481"/>
      <c r="E52" s="481"/>
      <c r="F52" s="481"/>
      <c r="G52" s="481"/>
      <c r="H52" s="481"/>
      <c r="I52" s="482"/>
      <c r="J52" s="482"/>
      <c r="K52" s="1077"/>
      <c r="L52" s="481"/>
      <c r="M52" s="481"/>
      <c r="N52" s="481"/>
      <c r="O52" s="481"/>
      <c r="P52" s="481"/>
      <c r="Q52" s="482"/>
      <c r="R52" s="482"/>
      <c r="S52" s="1077"/>
      <c r="T52" s="481"/>
      <c r="U52" s="482"/>
      <c r="V52" s="483"/>
      <c r="W52" s="483"/>
      <c r="X52" s="483"/>
    </row>
    <row r="53" spans="1:24" ht="13.5" thickBot="1">
      <c r="A53" s="209" t="s">
        <v>150</v>
      </c>
      <c r="B53" s="210"/>
      <c r="C53" s="455"/>
      <c r="D53" s="465">
        <v>22</v>
      </c>
      <c r="E53" s="465">
        <v>22</v>
      </c>
      <c r="F53" s="465">
        <v>22</v>
      </c>
      <c r="G53" s="465">
        <v>22</v>
      </c>
      <c r="H53" s="465">
        <v>22</v>
      </c>
      <c r="I53" s="226">
        <v>22</v>
      </c>
      <c r="J53" s="226">
        <v>22</v>
      </c>
      <c r="K53" s="1078">
        <f>+J53/I53</f>
        <v>1</v>
      </c>
      <c r="L53" s="465">
        <v>22</v>
      </c>
      <c r="M53" s="465">
        <v>22</v>
      </c>
      <c r="N53" s="465">
        <v>22</v>
      </c>
      <c r="O53" s="465">
        <v>22</v>
      </c>
      <c r="P53" s="465">
        <v>22</v>
      </c>
      <c r="Q53" s="226">
        <v>22</v>
      </c>
      <c r="R53" s="226">
        <v>22</v>
      </c>
      <c r="S53" s="1078">
        <f>+R53/Q53</f>
        <v>1</v>
      </c>
      <c r="T53" s="465"/>
      <c r="U53" s="226"/>
      <c r="V53" s="458"/>
      <c r="W53" s="458"/>
      <c r="X53" s="458"/>
    </row>
    <row r="54" spans="1:24" ht="13.5" thickBot="1">
      <c r="A54" s="209" t="s">
        <v>151</v>
      </c>
      <c r="B54" s="210"/>
      <c r="C54" s="455"/>
      <c r="D54" s="465">
        <v>0</v>
      </c>
      <c r="E54" s="465">
        <v>0</v>
      </c>
      <c r="F54" s="465">
        <v>0</v>
      </c>
      <c r="G54" s="465">
        <v>0</v>
      </c>
      <c r="H54" s="465">
        <v>0</v>
      </c>
      <c r="I54" s="226">
        <v>0</v>
      </c>
      <c r="J54" s="226">
        <v>0</v>
      </c>
      <c r="K54" s="1078" t="s">
        <v>627</v>
      </c>
      <c r="L54" s="465">
        <v>0</v>
      </c>
      <c r="M54" s="465">
        <v>0</v>
      </c>
      <c r="N54" s="465">
        <v>0</v>
      </c>
      <c r="O54" s="465">
        <v>0</v>
      </c>
      <c r="P54" s="465">
        <v>0</v>
      </c>
      <c r="Q54" s="226">
        <v>0</v>
      </c>
      <c r="R54" s="226">
        <v>0</v>
      </c>
      <c r="S54" s="1078" t="s">
        <v>627</v>
      </c>
      <c r="T54" s="465"/>
      <c r="U54" s="226"/>
      <c r="V54" s="458"/>
      <c r="W54" s="458"/>
      <c r="X54" s="458"/>
    </row>
    <row r="55" spans="6:11" ht="12.75">
      <c r="F55" s="313"/>
      <c r="G55" s="313"/>
      <c r="H55" s="313"/>
      <c r="I55" s="313"/>
      <c r="J55" s="313"/>
      <c r="K55" s="313"/>
    </row>
    <row r="56" spans="1:11" ht="12.75">
      <c r="A56" s="1522" t="s">
        <v>152</v>
      </c>
      <c r="B56" s="1522"/>
      <c r="C56" s="1522"/>
      <c r="D56" s="1522"/>
      <c r="E56" s="295"/>
      <c r="F56" s="684"/>
      <c r="G56" s="684"/>
      <c r="H56" s="684"/>
      <c r="I56" s="684"/>
      <c r="J56" s="295"/>
      <c r="K56" s="295"/>
    </row>
    <row r="57" spans="1:3" ht="12.75">
      <c r="A57" s="1522"/>
      <c r="B57" s="1522"/>
      <c r="C57" s="1522"/>
    </row>
    <row r="58" spans="4:11" ht="12.75">
      <c r="D58" s="313">
        <v>0</v>
      </c>
      <c r="E58" s="313"/>
      <c r="F58" s="313"/>
      <c r="G58" s="313"/>
      <c r="H58" s="313"/>
      <c r="I58" s="313"/>
      <c r="J58" s="313"/>
      <c r="K58" s="313"/>
    </row>
  </sheetData>
  <sheetProtection/>
  <mergeCells count="8">
    <mergeCell ref="L1:W1"/>
    <mergeCell ref="T5:X5"/>
    <mergeCell ref="A3:T3"/>
    <mergeCell ref="A57:C57"/>
    <mergeCell ref="A56:D56"/>
    <mergeCell ref="A6:B6"/>
    <mergeCell ref="D5:K5"/>
    <mergeCell ref="L5:S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0" zoomScaleNormal="70" workbookViewId="0" topLeftCell="B19">
      <selection activeCell="AD43" activeCellId="1" sqref="V43 AD43"/>
    </sheetView>
  </sheetViews>
  <sheetFormatPr defaultColWidth="9.140625" defaultRowHeight="12.75"/>
  <cols>
    <col min="1" max="1" width="9.140625" style="1012" customWidth="1"/>
    <col min="2" max="2" width="57.00390625" style="1012" customWidth="1"/>
    <col min="3" max="3" width="5.57421875" style="1031" customWidth="1"/>
    <col min="4" max="4" width="17.421875" style="1029" customWidth="1"/>
    <col min="5" max="8" width="14.140625" style="1029" hidden="1" customWidth="1"/>
    <col min="9" max="9" width="14.140625" style="1029" customWidth="1"/>
    <col min="10" max="11" width="20.8515625" style="1029" customWidth="1"/>
    <col min="12" max="15" width="20.8515625" style="1029" hidden="1" customWidth="1"/>
    <col min="16" max="16" width="20.28125" style="1012" customWidth="1"/>
    <col min="17" max="20" width="15.28125" style="1012" hidden="1" customWidth="1"/>
    <col min="21" max="23" width="15.28125" style="1012" customWidth="1"/>
    <col min="24" max="24" width="18.28125" style="1012" customWidth="1"/>
    <col min="25" max="25" width="13.28125" style="1012" hidden="1" customWidth="1"/>
    <col min="26" max="26" width="14.7109375" style="1012" hidden="1" customWidth="1"/>
    <col min="27" max="27" width="17.421875" style="1012" hidden="1" customWidth="1"/>
    <col min="28" max="28" width="14.8515625" style="1012" hidden="1" customWidth="1"/>
    <col min="29" max="30" width="17.00390625" style="1012" customWidth="1"/>
    <col min="31" max="31" width="13.7109375" style="1012" customWidth="1"/>
    <col min="32" max="32" width="9.140625" style="1012" customWidth="1"/>
    <col min="33" max="16384" width="9.140625" style="1012" customWidth="1"/>
  </cols>
  <sheetData>
    <row r="1" spans="1:25" ht="15.75">
      <c r="A1" s="1540" t="s">
        <v>59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P1" s="1540"/>
      <c r="Q1" s="1540"/>
      <c r="R1" s="1540"/>
      <c r="S1" s="1540"/>
      <c r="T1" s="1540"/>
      <c r="U1" s="1540"/>
      <c r="V1" s="1540"/>
      <c r="W1" s="1540"/>
      <c r="X1" s="1540"/>
      <c r="Y1" s="1011"/>
    </row>
    <row r="2" spans="1:25" ht="16.5" thickBot="1">
      <c r="A2" s="1013"/>
      <c r="B2" s="1011"/>
      <c r="C2" s="1011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1"/>
      <c r="Q2" s="1011"/>
      <c r="R2" s="1011"/>
      <c r="S2" s="1011"/>
      <c r="T2" s="1011"/>
      <c r="U2" s="1011"/>
      <c r="V2" s="1011"/>
      <c r="W2" s="1011"/>
      <c r="X2" s="1011" t="s">
        <v>449</v>
      </c>
      <c r="Y2" s="1011"/>
    </row>
    <row r="3" spans="1:31" s="1018" customFormat="1" ht="31.5" customHeight="1" thickBot="1">
      <c r="A3" s="1015" t="s">
        <v>6</v>
      </c>
      <c r="B3" s="1016" t="s">
        <v>35</v>
      </c>
      <c r="C3" s="1017" t="s">
        <v>266</v>
      </c>
      <c r="D3" s="1532" t="s">
        <v>5</v>
      </c>
      <c r="E3" s="1533"/>
      <c r="F3" s="1533"/>
      <c r="G3" s="1533"/>
      <c r="H3" s="1533"/>
      <c r="I3" s="1533"/>
      <c r="J3" s="1533"/>
      <c r="K3" s="1534"/>
      <c r="L3" s="1130"/>
      <c r="M3" s="1130"/>
      <c r="N3" s="1130"/>
      <c r="O3" s="1130"/>
      <c r="P3" s="1535" t="s">
        <v>267</v>
      </c>
      <c r="Q3" s="1536"/>
      <c r="R3" s="1536"/>
      <c r="S3" s="1536"/>
      <c r="T3" s="1536"/>
      <c r="U3" s="1536"/>
      <c r="V3" s="1536"/>
      <c r="W3" s="1537"/>
      <c r="X3" s="1535" t="s">
        <v>26</v>
      </c>
      <c r="Y3" s="1536"/>
      <c r="Z3" s="1536"/>
      <c r="AA3" s="1536"/>
      <c r="AB3" s="1536"/>
      <c r="AC3" s="1536"/>
      <c r="AD3" s="1536"/>
      <c r="AE3" s="1537"/>
    </row>
    <row r="4" spans="1:31" s="1018" customFormat="1" ht="31.5" customHeight="1">
      <c r="A4" s="1019"/>
      <c r="B4" s="1020"/>
      <c r="C4" s="1021"/>
      <c r="D4" s="1022" t="s">
        <v>65</v>
      </c>
      <c r="E4" s="1023" t="s">
        <v>228</v>
      </c>
      <c r="F4" s="1023" t="s">
        <v>231</v>
      </c>
      <c r="G4" s="1024" t="s">
        <v>233</v>
      </c>
      <c r="H4" s="1024" t="s">
        <v>246</v>
      </c>
      <c r="I4" s="1024" t="s">
        <v>250</v>
      </c>
      <c r="J4" s="1024" t="s">
        <v>236</v>
      </c>
      <c r="K4" s="1025" t="s">
        <v>237</v>
      </c>
      <c r="L4" s="1131"/>
      <c r="M4" s="1131"/>
      <c r="N4" s="1131"/>
      <c r="O4" s="1131"/>
      <c r="P4" s="1022" t="s">
        <v>65</v>
      </c>
      <c r="Q4" s="1023" t="s">
        <v>228</v>
      </c>
      <c r="R4" s="1023" t="s">
        <v>231</v>
      </c>
      <c r="S4" s="1024" t="s">
        <v>233</v>
      </c>
      <c r="T4" s="1024" t="s">
        <v>246</v>
      </c>
      <c r="U4" s="1024" t="s">
        <v>250</v>
      </c>
      <c r="V4" s="1024" t="s">
        <v>236</v>
      </c>
      <c r="W4" s="1025" t="s">
        <v>237</v>
      </c>
      <c r="X4" s="1022" t="s">
        <v>65</v>
      </c>
      <c r="Y4" s="1023" t="s">
        <v>228</v>
      </c>
      <c r="Z4" s="1023" t="s">
        <v>231</v>
      </c>
      <c r="AA4" s="1024" t="s">
        <v>233</v>
      </c>
      <c r="AB4" s="1024" t="s">
        <v>246</v>
      </c>
      <c r="AC4" s="1024" t="s">
        <v>250</v>
      </c>
      <c r="AD4" s="1024" t="s">
        <v>236</v>
      </c>
      <c r="AE4" s="1025" t="s">
        <v>237</v>
      </c>
    </row>
    <row r="5" spans="1:31" ht="29.25" customHeight="1">
      <c r="A5" s="1026">
        <v>1</v>
      </c>
      <c r="B5" s="71" t="s">
        <v>511</v>
      </c>
      <c r="C5" s="509" t="s">
        <v>207</v>
      </c>
      <c r="D5" s="512">
        <v>280000</v>
      </c>
      <c r="E5" s="857">
        <v>280000</v>
      </c>
      <c r="F5" s="857">
        <v>280000</v>
      </c>
      <c r="G5" s="857">
        <v>280000</v>
      </c>
      <c r="H5" s="857">
        <v>280000</v>
      </c>
      <c r="I5" s="856">
        <f>205433+55467</f>
        <v>260900</v>
      </c>
      <c r="J5" s="856">
        <f>205433+55467</f>
        <v>260900</v>
      </c>
      <c r="K5" s="1149">
        <f>+J5/I5</f>
        <v>1</v>
      </c>
      <c r="L5" s="1133"/>
      <c r="M5" s="1133"/>
      <c r="N5" s="1133"/>
      <c r="O5" s="1133"/>
      <c r="P5" s="512"/>
      <c r="Q5" s="857">
        <v>0</v>
      </c>
      <c r="R5" s="857"/>
      <c r="S5" s="857"/>
      <c r="T5" s="857"/>
      <c r="U5" s="857"/>
      <c r="V5" s="857"/>
      <c r="W5" s="517"/>
      <c r="X5" s="512">
        <v>280000</v>
      </c>
      <c r="Y5" s="857">
        <v>280000</v>
      </c>
      <c r="Z5" s="857">
        <v>280000</v>
      </c>
      <c r="AA5" s="857">
        <v>280000</v>
      </c>
      <c r="AB5" s="857">
        <v>280000</v>
      </c>
      <c r="AC5" s="857">
        <f>+I5-U5</f>
        <v>260900</v>
      </c>
      <c r="AD5" s="857">
        <f>+J5-V5</f>
        <v>260900</v>
      </c>
      <c r="AE5" s="1149">
        <f aca="true" t="shared" si="0" ref="AE5:AE23">+AD5/AC5</f>
        <v>1</v>
      </c>
    </row>
    <row r="6" spans="1:31" ht="29.25" customHeight="1">
      <c r="A6" s="1026">
        <v>2</v>
      </c>
      <c r="B6" s="71" t="s">
        <v>607</v>
      </c>
      <c r="C6" s="509" t="s">
        <v>207</v>
      </c>
      <c r="D6" s="513">
        <v>600000</v>
      </c>
      <c r="E6" s="856">
        <v>600000</v>
      </c>
      <c r="F6" s="856">
        <v>600000</v>
      </c>
      <c r="G6" s="856">
        <v>600000</v>
      </c>
      <c r="H6" s="856">
        <v>600000</v>
      </c>
      <c r="I6" s="856">
        <f>205433+55467</f>
        <v>260900</v>
      </c>
      <c r="J6" s="856">
        <f>205433+55467</f>
        <v>260900</v>
      </c>
      <c r="K6" s="1149">
        <f aca="true" t="shared" si="1" ref="K6:K23">+J6/I6</f>
        <v>1</v>
      </c>
      <c r="L6" s="1133"/>
      <c r="M6" s="1133"/>
      <c r="N6" s="1133"/>
      <c r="O6" s="1133"/>
      <c r="P6" s="518"/>
      <c r="Q6" s="854"/>
      <c r="R6" s="854"/>
      <c r="S6" s="854"/>
      <c r="T6" s="854"/>
      <c r="U6" s="854"/>
      <c r="V6" s="854"/>
      <c r="W6" s="517"/>
      <c r="X6" s="513">
        <v>600000</v>
      </c>
      <c r="Y6" s="856">
        <v>600000</v>
      </c>
      <c r="Z6" s="856">
        <v>600000</v>
      </c>
      <c r="AA6" s="856">
        <v>600000</v>
      </c>
      <c r="AB6" s="856">
        <v>600000</v>
      </c>
      <c r="AC6" s="857">
        <f aca="true" t="shared" si="2" ref="AC6:AC22">+I6-U6</f>
        <v>260900</v>
      </c>
      <c r="AD6" s="857">
        <f aca="true" t="shared" si="3" ref="AD6:AD22">+J6-V6</f>
        <v>260900</v>
      </c>
      <c r="AE6" s="1149">
        <f t="shared" si="0"/>
        <v>1</v>
      </c>
    </row>
    <row r="7" spans="1:31" ht="29.25" customHeight="1">
      <c r="A7" s="1026">
        <v>3</v>
      </c>
      <c r="B7" s="858" t="s">
        <v>512</v>
      </c>
      <c r="C7" s="1027" t="s">
        <v>207</v>
      </c>
      <c r="D7" s="514">
        <v>10000000</v>
      </c>
      <c r="E7" s="1150">
        <v>10000000</v>
      </c>
      <c r="F7" s="1150">
        <f>10000000+23980</f>
        <v>10023980</v>
      </c>
      <c r="G7" s="1150">
        <f>10000000+23980</f>
        <v>10023980</v>
      </c>
      <c r="H7" s="1150">
        <f>10000000+23980</f>
        <v>10023980</v>
      </c>
      <c r="I7" s="1150">
        <f>10000000+23980-596524</f>
        <v>9427456</v>
      </c>
      <c r="J7" s="1150">
        <f>484650+1795000</f>
        <v>2279650</v>
      </c>
      <c r="K7" s="1149">
        <f t="shared" si="1"/>
        <v>0.24180966742247326</v>
      </c>
      <c r="L7" s="1133"/>
      <c r="M7" s="1133"/>
      <c r="N7" s="1133"/>
      <c r="O7" s="1133"/>
      <c r="P7" s="519"/>
      <c r="Q7" s="698"/>
      <c r="R7" s="698"/>
      <c r="S7" s="698"/>
      <c r="T7" s="698"/>
      <c r="U7" s="698"/>
      <c r="V7" s="698"/>
      <c r="W7" s="517"/>
      <c r="X7" s="514">
        <v>10000000</v>
      </c>
      <c r="Y7" s="1150">
        <v>10000000</v>
      </c>
      <c r="Z7" s="1150">
        <f>10000000+23980</f>
        <v>10023980</v>
      </c>
      <c r="AA7" s="1150">
        <f>10000000+23980</f>
        <v>10023980</v>
      </c>
      <c r="AB7" s="1150">
        <f>10000000+23980</f>
        <v>10023980</v>
      </c>
      <c r="AC7" s="857">
        <f t="shared" si="2"/>
        <v>9427456</v>
      </c>
      <c r="AD7" s="857">
        <f t="shared" si="3"/>
        <v>2279650</v>
      </c>
      <c r="AE7" s="1149">
        <f t="shared" si="0"/>
        <v>0.24180966742247326</v>
      </c>
    </row>
    <row r="8" spans="1:31" ht="29.25" customHeight="1">
      <c r="A8" s="1026">
        <v>4</v>
      </c>
      <c r="B8" s="71" t="s">
        <v>553</v>
      </c>
      <c r="C8" s="1027" t="s">
        <v>207</v>
      </c>
      <c r="D8" s="515">
        <v>396042</v>
      </c>
      <c r="E8" s="63">
        <v>396042</v>
      </c>
      <c r="F8" s="63">
        <v>396042</v>
      </c>
      <c r="G8" s="63">
        <v>396042</v>
      </c>
      <c r="H8" s="63">
        <v>396042</v>
      </c>
      <c r="I8" s="63">
        <v>396042</v>
      </c>
      <c r="J8" s="63">
        <f>84198+262500</f>
        <v>346698</v>
      </c>
      <c r="K8" s="1147">
        <f t="shared" si="1"/>
        <v>0.8754071537867196</v>
      </c>
      <c r="L8" s="1134"/>
      <c r="M8" s="1134"/>
      <c r="N8" s="1134"/>
      <c r="O8" s="1134"/>
      <c r="P8" s="519"/>
      <c r="Q8" s="698"/>
      <c r="R8" s="698"/>
      <c r="S8" s="698"/>
      <c r="T8" s="698"/>
      <c r="U8" s="698"/>
      <c r="V8" s="698"/>
      <c r="W8" s="517"/>
      <c r="X8" s="515">
        <v>396042</v>
      </c>
      <c r="Y8" s="63">
        <v>396042</v>
      </c>
      <c r="Z8" s="63">
        <v>396042</v>
      </c>
      <c r="AA8" s="63">
        <v>396042</v>
      </c>
      <c r="AB8" s="63">
        <v>396042</v>
      </c>
      <c r="AC8" s="857">
        <f t="shared" si="2"/>
        <v>396042</v>
      </c>
      <c r="AD8" s="857">
        <f t="shared" si="3"/>
        <v>346698</v>
      </c>
      <c r="AE8" s="1149">
        <f t="shared" si="0"/>
        <v>0.8754071537867196</v>
      </c>
    </row>
    <row r="9" spans="1:31" ht="29.25" customHeight="1">
      <c r="A9" s="1026">
        <v>5</v>
      </c>
      <c r="B9" s="813" t="s">
        <v>551</v>
      </c>
      <c r="C9" s="1027" t="s">
        <v>207</v>
      </c>
      <c r="D9" s="515"/>
      <c r="E9" s="63">
        <v>347980</v>
      </c>
      <c r="F9" s="63">
        <v>347980</v>
      </c>
      <c r="G9" s="63">
        <v>347980</v>
      </c>
      <c r="H9" s="63">
        <v>347980</v>
      </c>
      <c r="I9" s="63">
        <v>347980</v>
      </c>
      <c r="J9" s="63">
        <f>73980+274000</f>
        <v>347980</v>
      </c>
      <c r="K9" s="1147">
        <f t="shared" si="1"/>
        <v>1</v>
      </c>
      <c r="L9" s="1134"/>
      <c r="M9" s="1134"/>
      <c r="N9" s="1134"/>
      <c r="O9" s="1134"/>
      <c r="P9" s="519"/>
      <c r="Q9" s="698"/>
      <c r="R9" s="698"/>
      <c r="S9" s="698"/>
      <c r="T9" s="698"/>
      <c r="U9" s="698"/>
      <c r="V9" s="698"/>
      <c r="W9" s="517"/>
      <c r="X9" s="519"/>
      <c r="Y9" s="63">
        <v>347980</v>
      </c>
      <c r="Z9" s="63">
        <v>347980</v>
      </c>
      <c r="AA9" s="63">
        <v>347980</v>
      </c>
      <c r="AB9" s="63">
        <v>347980</v>
      </c>
      <c r="AC9" s="857">
        <f t="shared" si="2"/>
        <v>347980</v>
      </c>
      <c r="AD9" s="857">
        <f t="shared" si="3"/>
        <v>347980</v>
      </c>
      <c r="AE9" s="1149">
        <f t="shared" si="0"/>
        <v>1</v>
      </c>
    </row>
    <row r="10" spans="1:31" ht="29.25" customHeight="1">
      <c r="A10" s="1026">
        <v>6</v>
      </c>
      <c r="B10" s="813" t="s">
        <v>552</v>
      </c>
      <c r="C10" s="1027" t="s">
        <v>207</v>
      </c>
      <c r="D10" s="515"/>
      <c r="E10" s="63">
        <v>144780</v>
      </c>
      <c r="F10" s="63">
        <v>144780</v>
      </c>
      <c r="G10" s="63">
        <v>144780</v>
      </c>
      <c r="H10" s="63">
        <v>144780</v>
      </c>
      <c r="I10" s="63">
        <v>144780</v>
      </c>
      <c r="J10" s="63">
        <f>30780+114000</f>
        <v>144780</v>
      </c>
      <c r="K10" s="1147">
        <f t="shared" si="1"/>
        <v>1</v>
      </c>
      <c r="L10" s="1134"/>
      <c r="M10" s="1134"/>
      <c r="N10" s="1134"/>
      <c r="O10" s="1134"/>
      <c r="P10" s="519"/>
      <c r="Q10" s="698"/>
      <c r="R10" s="698"/>
      <c r="S10" s="698"/>
      <c r="T10" s="698"/>
      <c r="U10" s="698"/>
      <c r="V10" s="698"/>
      <c r="W10" s="517"/>
      <c r="X10" s="519"/>
      <c r="Y10" s="63">
        <v>144780</v>
      </c>
      <c r="Z10" s="63">
        <v>144780</v>
      </c>
      <c r="AA10" s="63">
        <v>144780</v>
      </c>
      <c r="AB10" s="63">
        <v>144780</v>
      </c>
      <c r="AC10" s="857">
        <f t="shared" si="2"/>
        <v>144780</v>
      </c>
      <c r="AD10" s="857">
        <f t="shared" si="3"/>
        <v>144780</v>
      </c>
      <c r="AE10" s="1149">
        <f t="shared" si="0"/>
        <v>1</v>
      </c>
    </row>
    <row r="11" spans="1:31" ht="29.25" customHeight="1">
      <c r="A11" s="1026">
        <v>7</v>
      </c>
      <c r="B11" s="71" t="s">
        <v>632</v>
      </c>
      <c r="C11" s="1027" t="s">
        <v>207</v>
      </c>
      <c r="D11" s="515"/>
      <c r="E11" s="63"/>
      <c r="F11" s="63">
        <f>262500+70875</f>
        <v>333375</v>
      </c>
      <c r="G11" s="63">
        <f>262500+70875</f>
        <v>333375</v>
      </c>
      <c r="H11" s="63">
        <f>262500+70875</f>
        <v>333375</v>
      </c>
      <c r="I11" s="63">
        <f>70875+311844</f>
        <v>382719</v>
      </c>
      <c r="J11" s="63">
        <f>70875+311844</f>
        <v>382719</v>
      </c>
      <c r="K11" s="1147">
        <f t="shared" si="1"/>
        <v>1</v>
      </c>
      <c r="L11" s="1134"/>
      <c r="M11" s="1134"/>
      <c r="N11" s="1134"/>
      <c r="O11" s="1134"/>
      <c r="P11" s="519"/>
      <c r="Q11" s="698"/>
      <c r="R11" s="698"/>
      <c r="S11" s="698"/>
      <c r="T11" s="698"/>
      <c r="U11" s="698"/>
      <c r="V11" s="698"/>
      <c r="W11" s="517"/>
      <c r="X11" s="519"/>
      <c r="Y11" s="63"/>
      <c r="Z11" s="63">
        <f>262500+70875</f>
        <v>333375</v>
      </c>
      <c r="AA11" s="63">
        <f>262500+70875</f>
        <v>333375</v>
      </c>
      <c r="AB11" s="63">
        <f>262500+70875</f>
        <v>333375</v>
      </c>
      <c r="AC11" s="857">
        <f t="shared" si="2"/>
        <v>382719</v>
      </c>
      <c r="AD11" s="857">
        <f t="shared" si="3"/>
        <v>382719</v>
      </c>
      <c r="AE11" s="1149">
        <f t="shared" si="0"/>
        <v>1</v>
      </c>
    </row>
    <row r="12" spans="1:31" ht="29.25" customHeight="1">
      <c r="A12" s="1026">
        <v>8</v>
      </c>
      <c r="B12" s="74" t="s">
        <v>554</v>
      </c>
      <c r="C12" s="1027" t="s">
        <v>207</v>
      </c>
      <c r="D12" s="515"/>
      <c r="E12" s="63"/>
      <c r="F12" s="63">
        <f>70866+19134</f>
        <v>90000</v>
      </c>
      <c r="G12" s="63">
        <f>70866+19134</f>
        <v>90000</v>
      </c>
      <c r="H12" s="63">
        <f>70866+19134</f>
        <v>90000</v>
      </c>
      <c r="I12" s="63">
        <f>70866+19134</f>
        <v>90000</v>
      </c>
      <c r="J12" s="63">
        <f>19134+70866</f>
        <v>90000</v>
      </c>
      <c r="K12" s="1147">
        <f t="shared" si="1"/>
        <v>1</v>
      </c>
      <c r="L12" s="1134"/>
      <c r="M12" s="1134"/>
      <c r="N12" s="1134"/>
      <c r="O12" s="1134"/>
      <c r="P12" s="519"/>
      <c r="Q12" s="698"/>
      <c r="R12" s="698"/>
      <c r="S12" s="698"/>
      <c r="T12" s="698"/>
      <c r="U12" s="698"/>
      <c r="V12" s="698"/>
      <c r="W12" s="517"/>
      <c r="X12" s="519"/>
      <c r="Y12" s="63"/>
      <c r="Z12" s="63">
        <f>70866+19134</f>
        <v>90000</v>
      </c>
      <c r="AA12" s="63">
        <f>70866+19134</f>
        <v>90000</v>
      </c>
      <c r="AB12" s="63">
        <f>70866+19134</f>
        <v>90000</v>
      </c>
      <c r="AC12" s="857">
        <f t="shared" si="2"/>
        <v>90000</v>
      </c>
      <c r="AD12" s="857">
        <f t="shared" si="3"/>
        <v>90000</v>
      </c>
      <c r="AE12" s="1149">
        <f t="shared" si="0"/>
        <v>1</v>
      </c>
    </row>
    <row r="13" spans="1:31" ht="29.25" customHeight="1">
      <c r="A13" s="1026">
        <v>9</v>
      </c>
      <c r="B13" s="71" t="s">
        <v>557</v>
      </c>
      <c r="C13" s="1027" t="s">
        <v>207</v>
      </c>
      <c r="D13" s="515"/>
      <c r="E13" s="63"/>
      <c r="F13" s="63">
        <v>198000</v>
      </c>
      <c r="G13" s="63">
        <v>198000</v>
      </c>
      <c r="H13" s="63">
        <v>198000</v>
      </c>
      <c r="I13" s="63">
        <v>198000</v>
      </c>
      <c r="J13" s="63">
        <v>198000</v>
      </c>
      <c r="K13" s="1147">
        <f t="shared" si="1"/>
        <v>1</v>
      </c>
      <c r="L13" s="1134"/>
      <c r="M13" s="1134"/>
      <c r="N13" s="1134"/>
      <c r="O13" s="1134"/>
      <c r="P13" s="519"/>
      <c r="Q13" s="698"/>
      <c r="R13" s="698">
        <v>198000</v>
      </c>
      <c r="S13" s="698">
        <v>198000</v>
      </c>
      <c r="T13" s="698">
        <v>198000</v>
      </c>
      <c r="U13" s="698">
        <v>198000</v>
      </c>
      <c r="V13" s="698">
        <v>198000</v>
      </c>
      <c r="W13" s="1147">
        <f>+V13/U13</f>
        <v>1</v>
      </c>
      <c r="X13" s="519"/>
      <c r="Y13" s="63"/>
      <c r="Z13" s="63"/>
      <c r="AA13" s="63">
        <f aca="true" t="shared" si="4" ref="AA13:AB16">G13-S13</f>
        <v>0</v>
      </c>
      <c r="AB13" s="63">
        <f t="shared" si="4"/>
        <v>0</v>
      </c>
      <c r="AC13" s="857">
        <f t="shared" si="2"/>
        <v>0</v>
      </c>
      <c r="AD13" s="857">
        <f t="shared" si="3"/>
        <v>0</v>
      </c>
      <c r="AE13" s="1149"/>
    </row>
    <row r="14" spans="1:31" ht="43.5" customHeight="1">
      <c r="A14" s="1026">
        <v>10</v>
      </c>
      <c r="B14" s="813" t="s">
        <v>561</v>
      </c>
      <c r="C14" s="1027" t="s">
        <v>207</v>
      </c>
      <c r="D14" s="515"/>
      <c r="E14" s="63"/>
      <c r="F14" s="63"/>
      <c r="G14" s="63">
        <f>2471702+667359</f>
        <v>3139061</v>
      </c>
      <c r="H14" s="63">
        <f>2471702+667359</f>
        <v>3139061</v>
      </c>
      <c r="I14" s="63">
        <f>2471702+667359</f>
        <v>3139061</v>
      </c>
      <c r="J14" s="63">
        <f>667359+2471702</f>
        <v>3139061</v>
      </c>
      <c r="K14" s="1147">
        <f t="shared" si="1"/>
        <v>1</v>
      </c>
      <c r="L14" s="1134"/>
      <c r="M14" s="1134"/>
      <c r="N14" s="1134"/>
      <c r="O14" s="1134"/>
      <c r="P14" s="519"/>
      <c r="Q14" s="698"/>
      <c r="R14" s="698"/>
      <c r="S14" s="63">
        <f>2471702+667359</f>
        <v>3139061</v>
      </c>
      <c r="T14" s="63">
        <f>2471702+667359</f>
        <v>3139061</v>
      </c>
      <c r="U14" s="63">
        <f>2471702+667359</f>
        <v>3139061</v>
      </c>
      <c r="V14" s="63">
        <f>2471702+667359</f>
        <v>3139061</v>
      </c>
      <c r="W14" s="1147">
        <f>+V14/U14</f>
        <v>1</v>
      </c>
      <c r="X14" s="519"/>
      <c r="Y14" s="63"/>
      <c r="Z14" s="63"/>
      <c r="AA14" s="63">
        <f t="shared" si="4"/>
        <v>0</v>
      </c>
      <c r="AB14" s="63">
        <f t="shared" si="4"/>
        <v>0</v>
      </c>
      <c r="AC14" s="857">
        <f t="shared" si="2"/>
        <v>0</v>
      </c>
      <c r="AD14" s="857">
        <f t="shared" si="3"/>
        <v>0</v>
      </c>
      <c r="AE14" s="1149"/>
    </row>
    <row r="15" spans="1:31" ht="43.5" customHeight="1">
      <c r="A15" s="1026">
        <v>11</v>
      </c>
      <c r="B15" s="813" t="s">
        <v>562</v>
      </c>
      <c r="C15" s="1027" t="s">
        <v>207</v>
      </c>
      <c r="D15" s="515"/>
      <c r="E15" s="63"/>
      <c r="F15" s="63"/>
      <c r="G15" s="63">
        <f>44106114+11908650</f>
        <v>56014764</v>
      </c>
      <c r="H15" s="63">
        <f>44106114+11908650</f>
        <v>56014764</v>
      </c>
      <c r="I15" s="63">
        <f>44106114+11908650</f>
        <v>56014764</v>
      </c>
      <c r="J15" s="63">
        <v>0</v>
      </c>
      <c r="K15" s="1147">
        <f t="shared" si="1"/>
        <v>0</v>
      </c>
      <c r="L15" s="1134"/>
      <c r="M15" s="1134"/>
      <c r="N15" s="1134"/>
      <c r="O15" s="1134"/>
      <c r="P15" s="519"/>
      <c r="Q15" s="698"/>
      <c r="R15" s="698"/>
      <c r="S15" s="63">
        <f>44106114+11908650</f>
        <v>56014764</v>
      </c>
      <c r="T15" s="63">
        <f>44106114+11908650</f>
        <v>56014764</v>
      </c>
      <c r="U15" s="63">
        <f>44106114+11908650</f>
        <v>56014764</v>
      </c>
      <c r="V15" s="63">
        <v>0</v>
      </c>
      <c r="W15" s="1147">
        <f>+V15/U15</f>
        <v>0</v>
      </c>
      <c r="X15" s="519"/>
      <c r="Y15" s="63"/>
      <c r="Z15" s="63"/>
      <c r="AA15" s="63">
        <f t="shared" si="4"/>
        <v>0</v>
      </c>
      <c r="AB15" s="63">
        <f t="shared" si="4"/>
        <v>0</v>
      </c>
      <c r="AC15" s="857">
        <f t="shared" si="2"/>
        <v>0</v>
      </c>
      <c r="AD15" s="857">
        <f t="shared" si="3"/>
        <v>0</v>
      </c>
      <c r="AE15" s="1149"/>
    </row>
    <row r="16" spans="1:31" ht="43.5" customHeight="1">
      <c r="A16" s="1026">
        <v>12</v>
      </c>
      <c r="B16" s="813" t="s">
        <v>563</v>
      </c>
      <c r="C16" s="1027" t="s">
        <v>207</v>
      </c>
      <c r="D16" s="515"/>
      <c r="E16" s="63"/>
      <c r="F16" s="63"/>
      <c r="G16" s="63">
        <f>20985589+5666108</f>
        <v>26651697</v>
      </c>
      <c r="H16" s="63">
        <f>20985589+5666108</f>
        <v>26651697</v>
      </c>
      <c r="I16" s="63">
        <f>20985589+5666108</f>
        <v>26651697</v>
      </c>
      <c r="J16" s="63">
        <f>222437+823839</f>
        <v>1046276</v>
      </c>
      <c r="K16" s="1147">
        <f t="shared" si="1"/>
        <v>0.039257387625260785</v>
      </c>
      <c r="L16" s="1134"/>
      <c r="M16" s="1134"/>
      <c r="N16" s="1134"/>
      <c r="O16" s="1134"/>
      <c r="P16" s="519"/>
      <c r="Q16" s="698"/>
      <c r="R16" s="698"/>
      <c r="S16" s="63">
        <f>20985589+5666108</f>
        <v>26651697</v>
      </c>
      <c r="T16" s="63">
        <f>20985589+5666108</f>
        <v>26651697</v>
      </c>
      <c r="U16" s="63">
        <f>20985589+5666108</f>
        <v>26651697</v>
      </c>
      <c r="V16" s="63">
        <f>222437+823839</f>
        <v>1046276</v>
      </c>
      <c r="W16" s="1147">
        <f>+V16/U16</f>
        <v>0.039257387625260785</v>
      </c>
      <c r="X16" s="519"/>
      <c r="Y16" s="63"/>
      <c r="Z16" s="63"/>
      <c r="AA16" s="63">
        <f t="shared" si="4"/>
        <v>0</v>
      </c>
      <c r="AB16" s="63">
        <f t="shared" si="4"/>
        <v>0</v>
      </c>
      <c r="AC16" s="857">
        <f t="shared" si="2"/>
        <v>0</v>
      </c>
      <c r="AD16" s="857">
        <f t="shared" si="3"/>
        <v>0</v>
      </c>
      <c r="AE16" s="1149"/>
    </row>
    <row r="17" spans="1:31" ht="43.5" customHeight="1">
      <c r="A17" s="1026">
        <v>13</v>
      </c>
      <c r="B17" s="813" t="s">
        <v>571</v>
      </c>
      <c r="C17" s="1027" t="s">
        <v>207</v>
      </c>
      <c r="D17" s="515"/>
      <c r="E17" s="63"/>
      <c r="F17" s="63"/>
      <c r="G17" s="63"/>
      <c r="H17" s="63">
        <f>23836+6436</f>
        <v>30272</v>
      </c>
      <c r="I17" s="63">
        <f>23836+6436</f>
        <v>30272</v>
      </c>
      <c r="J17" s="63">
        <f>23836+6436</f>
        <v>30272</v>
      </c>
      <c r="K17" s="1147">
        <f t="shared" si="1"/>
        <v>1</v>
      </c>
      <c r="L17" s="1134"/>
      <c r="M17" s="1134"/>
      <c r="N17" s="1134"/>
      <c r="O17" s="1134"/>
      <c r="P17" s="519"/>
      <c r="Q17" s="698"/>
      <c r="R17" s="954"/>
      <c r="S17" s="955"/>
      <c r="T17" s="698"/>
      <c r="U17" s="698"/>
      <c r="V17" s="698"/>
      <c r="W17" s="517"/>
      <c r="X17" s="519"/>
      <c r="Y17" s="63"/>
      <c r="Z17" s="63"/>
      <c r="AA17" s="63"/>
      <c r="AB17" s="63">
        <f>23836+6436</f>
        <v>30272</v>
      </c>
      <c r="AC17" s="857">
        <f t="shared" si="2"/>
        <v>30272</v>
      </c>
      <c r="AD17" s="857">
        <f t="shared" si="3"/>
        <v>30272</v>
      </c>
      <c r="AE17" s="1149">
        <f t="shared" si="0"/>
        <v>1</v>
      </c>
    </row>
    <row r="18" spans="1:31" ht="43.5" customHeight="1">
      <c r="A18" s="1026">
        <v>14</v>
      </c>
      <c r="B18" s="813" t="s">
        <v>572</v>
      </c>
      <c r="C18" s="1027" t="s">
        <v>207</v>
      </c>
      <c r="D18" s="515"/>
      <c r="E18" s="63"/>
      <c r="F18" s="63"/>
      <c r="G18" s="63"/>
      <c r="H18" s="63">
        <f>55274+14924</f>
        <v>70198</v>
      </c>
      <c r="I18" s="63">
        <f>55274+14924</f>
        <v>70198</v>
      </c>
      <c r="J18" s="63">
        <f>55274+14924</f>
        <v>70198</v>
      </c>
      <c r="K18" s="1147">
        <f t="shared" si="1"/>
        <v>1</v>
      </c>
      <c r="L18" s="1134"/>
      <c r="M18" s="1134"/>
      <c r="N18" s="1134"/>
      <c r="O18" s="1134"/>
      <c r="P18" s="519"/>
      <c r="Q18" s="698"/>
      <c r="R18" s="954"/>
      <c r="S18" s="955"/>
      <c r="T18" s="698"/>
      <c r="U18" s="698"/>
      <c r="V18" s="698"/>
      <c r="W18" s="517"/>
      <c r="X18" s="519"/>
      <c r="Y18" s="63"/>
      <c r="Z18" s="63"/>
      <c r="AA18" s="63"/>
      <c r="AB18" s="63">
        <f>55274+14924</f>
        <v>70198</v>
      </c>
      <c r="AC18" s="857">
        <f t="shared" si="2"/>
        <v>70198</v>
      </c>
      <c r="AD18" s="857">
        <f t="shared" si="3"/>
        <v>70198</v>
      </c>
      <c r="AE18" s="1149">
        <f t="shared" si="0"/>
        <v>1</v>
      </c>
    </row>
    <row r="19" spans="1:31" ht="43.5" customHeight="1">
      <c r="A19" s="1026">
        <v>15</v>
      </c>
      <c r="B19" s="813" t="s">
        <v>573</v>
      </c>
      <c r="C19" s="1027" t="s">
        <v>207</v>
      </c>
      <c r="D19" s="515"/>
      <c r="E19" s="63"/>
      <c r="F19" s="63"/>
      <c r="G19" s="63"/>
      <c r="H19" s="63">
        <f>51181+13819</f>
        <v>65000</v>
      </c>
      <c r="I19" s="63">
        <f>51181+13819</f>
        <v>65000</v>
      </c>
      <c r="J19" s="63">
        <f>13819+51181</f>
        <v>65000</v>
      </c>
      <c r="K19" s="1147">
        <f t="shared" si="1"/>
        <v>1</v>
      </c>
      <c r="L19" s="1134"/>
      <c r="M19" s="1134"/>
      <c r="N19" s="1134"/>
      <c r="O19" s="1134"/>
      <c r="P19" s="519"/>
      <c r="Q19" s="698"/>
      <c r="R19" s="954"/>
      <c r="S19" s="955"/>
      <c r="T19" s="698"/>
      <c r="U19" s="698"/>
      <c r="V19" s="698"/>
      <c r="W19" s="517"/>
      <c r="X19" s="519"/>
      <c r="Y19" s="63"/>
      <c r="Z19" s="63"/>
      <c r="AA19" s="63"/>
      <c r="AB19" s="63">
        <f>51181+13819</f>
        <v>65000</v>
      </c>
      <c r="AC19" s="857">
        <f t="shared" si="2"/>
        <v>65000</v>
      </c>
      <c r="AD19" s="857">
        <f t="shared" si="3"/>
        <v>65000</v>
      </c>
      <c r="AE19" s="1149">
        <f t="shared" si="0"/>
        <v>1</v>
      </c>
    </row>
    <row r="20" spans="1:31" ht="43.5" customHeight="1">
      <c r="A20" s="1026">
        <v>16</v>
      </c>
      <c r="B20" s="813" t="s">
        <v>606</v>
      </c>
      <c r="C20" s="511" t="s">
        <v>207</v>
      </c>
      <c r="D20" s="515"/>
      <c r="E20" s="63"/>
      <c r="F20" s="63"/>
      <c r="G20" s="63"/>
      <c r="H20" s="63"/>
      <c r="I20" s="63">
        <f>192482+712898</f>
        <v>905380</v>
      </c>
      <c r="J20" s="63">
        <f>192482+712898</f>
        <v>905380</v>
      </c>
      <c r="K20" s="1147">
        <f t="shared" si="1"/>
        <v>1</v>
      </c>
      <c r="L20" s="1135"/>
      <c r="M20" s="1135"/>
      <c r="N20" s="1135"/>
      <c r="O20" s="1135"/>
      <c r="P20" s="519"/>
      <c r="Q20" s="698"/>
      <c r="R20" s="954"/>
      <c r="S20" s="955"/>
      <c r="T20" s="698"/>
      <c r="U20" s="698"/>
      <c r="V20" s="698"/>
      <c r="W20" s="517"/>
      <c r="X20" s="519"/>
      <c r="Y20" s="63"/>
      <c r="Z20" s="63"/>
      <c r="AA20" s="63"/>
      <c r="AB20" s="63"/>
      <c r="AC20" s="857">
        <f t="shared" si="2"/>
        <v>905380</v>
      </c>
      <c r="AD20" s="857">
        <f t="shared" si="3"/>
        <v>905380</v>
      </c>
      <c r="AE20" s="1149">
        <f t="shared" si="0"/>
        <v>1</v>
      </c>
    </row>
    <row r="21" spans="1:31" ht="43.5" customHeight="1" hidden="1">
      <c r="A21" s="1026"/>
      <c r="B21" s="813"/>
      <c r="C21" s="1027"/>
      <c r="D21" s="515"/>
      <c r="E21" s="63"/>
      <c r="F21" s="63"/>
      <c r="G21" s="63"/>
      <c r="H21" s="63"/>
      <c r="I21" s="63"/>
      <c r="J21" s="63"/>
      <c r="K21" s="1147" t="e">
        <f t="shared" si="1"/>
        <v>#DIV/0!</v>
      </c>
      <c r="L21" s="1135"/>
      <c r="M21" s="1135"/>
      <c r="N21" s="1135"/>
      <c r="O21" s="1135"/>
      <c r="P21" s="519"/>
      <c r="Q21" s="698"/>
      <c r="R21" s="954"/>
      <c r="S21" s="955"/>
      <c r="T21" s="698"/>
      <c r="U21" s="698"/>
      <c r="V21" s="698"/>
      <c r="W21" s="517"/>
      <c r="X21" s="519"/>
      <c r="Y21" s="63"/>
      <c r="Z21" s="63"/>
      <c r="AA21" s="63"/>
      <c r="AB21" s="63"/>
      <c r="AC21" s="857">
        <f t="shared" si="2"/>
        <v>0</v>
      </c>
      <c r="AD21" s="857">
        <f t="shared" si="3"/>
        <v>0</v>
      </c>
      <c r="AE21" s="1149" t="e">
        <f t="shared" si="0"/>
        <v>#DIV/0!</v>
      </c>
    </row>
    <row r="22" spans="1:31" ht="29.25" customHeight="1" thickBot="1">
      <c r="A22" s="1026">
        <v>16</v>
      </c>
      <c r="B22" s="73" t="s">
        <v>605</v>
      </c>
      <c r="C22" s="1027" t="s">
        <v>207</v>
      </c>
      <c r="D22" s="515"/>
      <c r="E22" s="63"/>
      <c r="F22" s="63"/>
      <c r="G22" s="63"/>
      <c r="H22" s="63"/>
      <c r="I22" s="63">
        <v>356000</v>
      </c>
      <c r="J22" s="63">
        <f>54638+301362</f>
        <v>356000</v>
      </c>
      <c r="K22" s="1147">
        <f t="shared" si="1"/>
        <v>1</v>
      </c>
      <c r="L22" s="1135"/>
      <c r="M22" s="1135"/>
      <c r="N22" s="1135"/>
      <c r="O22" s="1135"/>
      <c r="P22" s="519"/>
      <c r="Q22" s="698"/>
      <c r="R22" s="952"/>
      <c r="S22" s="952"/>
      <c r="T22" s="698"/>
      <c r="U22" s="698"/>
      <c r="V22" s="698"/>
      <c r="W22" s="517"/>
      <c r="X22" s="519"/>
      <c r="Y22" s="63"/>
      <c r="Z22" s="63"/>
      <c r="AA22" s="63">
        <f>G22-S22</f>
        <v>0</v>
      </c>
      <c r="AB22" s="63"/>
      <c r="AC22" s="857">
        <f t="shared" si="2"/>
        <v>356000</v>
      </c>
      <c r="AD22" s="857">
        <f t="shared" si="3"/>
        <v>356000</v>
      </c>
      <c r="AE22" s="1149">
        <f t="shared" si="0"/>
        <v>1</v>
      </c>
    </row>
    <row r="23" spans="1:31" ht="31.5" customHeight="1" thickBot="1">
      <c r="A23" s="1538" t="s">
        <v>1</v>
      </c>
      <c r="B23" s="1541"/>
      <c r="C23" s="1017"/>
      <c r="D23" s="516">
        <f>SUM(D5:D11)</f>
        <v>11276042</v>
      </c>
      <c r="E23" s="697">
        <f>SUM(E5:E11)</f>
        <v>11768802</v>
      </c>
      <c r="F23" s="697">
        <f>SUM(F5:F13)</f>
        <v>12414157</v>
      </c>
      <c r="G23" s="697">
        <f>SUM(G5:G16)</f>
        <v>98219679</v>
      </c>
      <c r="H23" s="697">
        <f>SUM(H5:H22)</f>
        <v>98385149</v>
      </c>
      <c r="I23" s="697">
        <f>SUM(I5:I22)</f>
        <v>98741149</v>
      </c>
      <c r="J23" s="697">
        <f>SUM(J5:J22)</f>
        <v>9923814</v>
      </c>
      <c r="K23" s="1148">
        <f t="shared" si="1"/>
        <v>0.10050332713871904</v>
      </c>
      <c r="L23" s="1136"/>
      <c r="M23" s="1136"/>
      <c r="N23" s="1136"/>
      <c r="O23" s="1136"/>
      <c r="P23" s="516">
        <f aca="true" t="shared" si="5" ref="P23:V23">SUM(P5:P22)</f>
        <v>0</v>
      </c>
      <c r="Q23" s="697">
        <f t="shared" si="5"/>
        <v>0</v>
      </c>
      <c r="R23" s="697">
        <f t="shared" si="5"/>
        <v>198000</v>
      </c>
      <c r="S23" s="697">
        <f t="shared" si="5"/>
        <v>86003522</v>
      </c>
      <c r="T23" s="697">
        <f t="shared" si="5"/>
        <v>86003522</v>
      </c>
      <c r="U23" s="697">
        <f t="shared" si="5"/>
        <v>86003522</v>
      </c>
      <c r="V23" s="697">
        <f t="shared" si="5"/>
        <v>4383337</v>
      </c>
      <c r="W23" s="1148">
        <f>+V23/U23</f>
        <v>0.05096694760942465</v>
      </c>
      <c r="X23" s="516">
        <f>SUM(X5:X22)</f>
        <v>11276042</v>
      </c>
      <c r="Y23" s="697">
        <f>SUM(Y5:Y11)</f>
        <v>11768802</v>
      </c>
      <c r="Z23" s="697">
        <f>SUM(Z5:Z11)</f>
        <v>12126157</v>
      </c>
      <c r="AA23" s="697">
        <f>SUM(AA5:AA16)</f>
        <v>12216157</v>
      </c>
      <c r="AB23" s="697">
        <f>SUM(AB5:AB22)</f>
        <v>12381627</v>
      </c>
      <c r="AC23" s="697">
        <f>SUM(AC5:AC22)</f>
        <v>12737627</v>
      </c>
      <c r="AD23" s="697">
        <f>SUM(AD5:AD22)</f>
        <v>5540477</v>
      </c>
      <c r="AE23" s="1148">
        <f t="shared" si="0"/>
        <v>0.4349693235639574</v>
      </c>
    </row>
    <row r="24" spans="1:30" ht="15.75">
      <c r="A24" s="1011"/>
      <c r="B24" s="1011"/>
      <c r="C24" s="1028"/>
      <c r="D24" s="894" t="str">
        <f>IF(D23='4.sz.m.ÖNK kiadás'!E18," ","HIBA - nem egyenlő főlappal")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Z24" s="1029"/>
      <c r="AC24" s="1029"/>
      <c r="AD24" s="1029"/>
    </row>
    <row r="25" spans="1:30" ht="15.75">
      <c r="A25" s="1011"/>
      <c r="B25" s="1011"/>
      <c r="C25" s="1028"/>
      <c r="D25" s="1030" t="str">
        <f>IF(P23+X23=D23," ","HIBA-NEM EGYENLŐ")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Z25" s="1029"/>
      <c r="AA25" s="1029"/>
      <c r="AC25" s="1029"/>
      <c r="AD25" s="1029"/>
    </row>
    <row r="26" spans="1:24" ht="14.25">
      <c r="A26" s="1540" t="s">
        <v>60</v>
      </c>
      <c r="B26" s="1540"/>
      <c r="C26" s="1540"/>
      <c r="D26" s="1540"/>
      <c r="E26" s="1540"/>
      <c r="F26" s="1540"/>
      <c r="G26" s="1540"/>
      <c r="H26" s="1540"/>
      <c r="I26" s="1540"/>
      <c r="J26" s="1540"/>
      <c r="K26" s="1540"/>
      <c r="L26" s="1540"/>
      <c r="M26" s="1540"/>
      <c r="N26" s="1540"/>
      <c r="O26" s="1540"/>
      <c r="P26" s="1540"/>
      <c r="Q26" s="1540"/>
      <c r="R26" s="1540"/>
      <c r="S26" s="1540"/>
      <c r="T26" s="1540"/>
      <c r="U26" s="1540"/>
      <c r="V26" s="1540"/>
      <c r="W26" s="1540"/>
      <c r="X26" s="1540"/>
    </row>
    <row r="27" spans="1:24" ht="13.5" thickBot="1">
      <c r="A27" s="1031"/>
      <c r="B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</row>
    <row r="28" spans="1:31" ht="29.25" customHeight="1" thickBot="1">
      <c r="A28" s="1015" t="s">
        <v>6</v>
      </c>
      <c r="B28" s="1016" t="s">
        <v>31</v>
      </c>
      <c r="C28" s="1017" t="s">
        <v>266</v>
      </c>
      <c r="D28" s="1532" t="s">
        <v>5</v>
      </c>
      <c r="E28" s="1533"/>
      <c r="F28" s="1533"/>
      <c r="G28" s="1533"/>
      <c r="H28" s="1533"/>
      <c r="I28" s="1533"/>
      <c r="J28" s="1533"/>
      <c r="K28" s="1534"/>
      <c r="L28" s="1130"/>
      <c r="M28" s="1130"/>
      <c r="N28" s="1130"/>
      <c r="O28" s="1130"/>
      <c r="P28" s="1535" t="s">
        <v>267</v>
      </c>
      <c r="Q28" s="1536"/>
      <c r="R28" s="1536"/>
      <c r="S28" s="1536"/>
      <c r="T28" s="1536"/>
      <c r="U28" s="1536"/>
      <c r="V28" s="1536"/>
      <c r="W28" s="1537"/>
      <c r="X28" s="1535" t="s">
        <v>26</v>
      </c>
      <c r="Y28" s="1536"/>
      <c r="Z28" s="1536"/>
      <c r="AA28" s="1536"/>
      <c r="AB28" s="1536"/>
      <c r="AC28" s="1536"/>
      <c r="AD28" s="1536"/>
      <c r="AE28" s="1537"/>
    </row>
    <row r="29" spans="1:31" ht="28.5" customHeight="1" thickBot="1">
      <c r="A29" s="1032"/>
      <c r="B29" s="1016"/>
      <c r="C29" s="1141"/>
      <c r="D29" s="1037" t="s">
        <v>65</v>
      </c>
      <c r="E29" s="1142" t="s">
        <v>228</v>
      </c>
      <c r="F29" s="1142" t="s">
        <v>231</v>
      </c>
      <c r="G29" s="1038" t="s">
        <v>233</v>
      </c>
      <c r="H29" s="1038" t="s">
        <v>246</v>
      </c>
      <c r="I29" s="1038" t="s">
        <v>250</v>
      </c>
      <c r="J29" s="1038" t="s">
        <v>236</v>
      </c>
      <c r="K29" s="1039" t="s">
        <v>237</v>
      </c>
      <c r="L29" s="1143"/>
      <c r="M29" s="1143"/>
      <c r="N29" s="1143"/>
      <c r="O29" s="1143"/>
      <c r="P29" s="1037" t="s">
        <v>65</v>
      </c>
      <c r="Q29" s="1142" t="s">
        <v>228</v>
      </c>
      <c r="R29" s="1142" t="s">
        <v>231</v>
      </c>
      <c r="S29" s="1038" t="s">
        <v>233</v>
      </c>
      <c r="T29" s="1038" t="s">
        <v>246</v>
      </c>
      <c r="U29" s="1038" t="s">
        <v>250</v>
      </c>
      <c r="V29" s="1038" t="s">
        <v>236</v>
      </c>
      <c r="W29" s="1039" t="s">
        <v>237</v>
      </c>
      <c r="X29" s="1037" t="s">
        <v>65</v>
      </c>
      <c r="Y29" s="1142" t="s">
        <v>228</v>
      </c>
      <c r="Z29" s="1142" t="s">
        <v>231</v>
      </c>
      <c r="AA29" s="1038" t="s">
        <v>233</v>
      </c>
      <c r="AB29" s="1038" t="s">
        <v>246</v>
      </c>
      <c r="AC29" s="1038" t="s">
        <v>250</v>
      </c>
      <c r="AD29" s="1038" t="s">
        <v>236</v>
      </c>
      <c r="AE29" s="1039" t="s">
        <v>237</v>
      </c>
    </row>
    <row r="30" spans="1:31" ht="29.25" customHeight="1" thickBot="1">
      <c r="A30" s="1033">
        <v>1</v>
      </c>
      <c r="B30" s="1137" t="s">
        <v>513</v>
      </c>
      <c r="C30" s="510" t="s">
        <v>207</v>
      </c>
      <c r="D30" s="521">
        <v>20000000</v>
      </c>
      <c r="E30" s="855">
        <v>20000000</v>
      </c>
      <c r="F30" s="855">
        <v>20000000</v>
      </c>
      <c r="G30" s="855">
        <v>20000000</v>
      </c>
      <c r="H30" s="855">
        <v>20000000</v>
      </c>
      <c r="I30" s="855">
        <f>20000000-440000-76200</f>
        <v>19483800</v>
      </c>
      <c r="J30" s="855">
        <v>18392879</v>
      </c>
      <c r="K30" s="1146">
        <f aca="true" t="shared" si="6" ref="K30:K43">+J30/I30</f>
        <v>0.9440088175817859</v>
      </c>
      <c r="L30" s="1144"/>
      <c r="M30" s="521">
        <f>70000+14412582</f>
        <v>14482582</v>
      </c>
      <c r="N30" s="521">
        <f>18900+3891397</f>
        <v>3910297</v>
      </c>
      <c r="O30" s="521">
        <f>+L30+M30+N30</f>
        <v>18392879</v>
      </c>
      <c r="P30" s="1138"/>
      <c r="Q30" s="1139"/>
      <c r="R30" s="1139"/>
      <c r="S30" s="1139"/>
      <c r="T30" s="1139"/>
      <c r="U30" s="1139"/>
      <c r="V30" s="1139"/>
      <c r="W30" s="1140"/>
      <c r="X30" s="521">
        <v>20000000</v>
      </c>
      <c r="Y30" s="855">
        <v>20000000</v>
      </c>
      <c r="Z30" s="855">
        <f>F30-R30</f>
        <v>20000000</v>
      </c>
      <c r="AA30" s="855">
        <f>G30-S30</f>
        <v>20000000</v>
      </c>
      <c r="AB30" s="855">
        <f>H30-T30</f>
        <v>20000000</v>
      </c>
      <c r="AC30" s="855">
        <f>I30-U30</f>
        <v>19483800</v>
      </c>
      <c r="AD30" s="855">
        <f>J30-V30</f>
        <v>18392879</v>
      </c>
      <c r="AE30" s="1146">
        <f aca="true" t="shared" si="7" ref="AE30:AE43">+AD30/AC30</f>
        <v>0.9440088175817859</v>
      </c>
    </row>
    <row r="31" spans="1:31" ht="29.25" customHeight="1" thickBot="1">
      <c r="A31" s="1034">
        <v>2</v>
      </c>
      <c r="B31" s="76" t="s">
        <v>514</v>
      </c>
      <c r="C31" s="510" t="s">
        <v>207</v>
      </c>
      <c r="D31" s="521">
        <v>15000000</v>
      </c>
      <c r="E31" s="855">
        <v>15000000</v>
      </c>
      <c r="F31" s="855">
        <f>15000000+2096176+565968</f>
        <v>17662144</v>
      </c>
      <c r="G31" s="855">
        <f>15000000+2096176+565968</f>
        <v>17662144</v>
      </c>
      <c r="H31" s="855">
        <f>15000000+2096176+565968+3515789+949263</f>
        <v>22127196</v>
      </c>
      <c r="I31" s="855">
        <f>15000000+2096176+565968+3515789+949263+2516550+679469</f>
        <v>25323215</v>
      </c>
      <c r="J31" s="855">
        <f>240000+180000+60000+180000+9979160+260429+325536*10+64800+48600+16200+48600+2694373+70316+87895*10-1</f>
        <v>17976787</v>
      </c>
      <c r="K31" s="1147">
        <f t="shared" si="6"/>
        <v>0.7098935502462859</v>
      </c>
      <c r="L31" s="1144"/>
      <c r="M31" s="521">
        <f>240000+180000+60000+180000+9979160+260429+10*325536</f>
        <v>14154949</v>
      </c>
      <c r="N31" s="521">
        <f>64800+48600+16200+48600+2694373+70316+10*87895-1</f>
        <v>3821838</v>
      </c>
      <c r="O31" s="520">
        <f aca="true" t="shared" si="8" ref="O31:O42">+L31+M31+N31</f>
        <v>17976787</v>
      </c>
      <c r="P31" s="519"/>
      <c r="Q31" s="698"/>
      <c r="R31" s="698"/>
      <c r="S31" s="698"/>
      <c r="T31" s="698"/>
      <c r="U31" s="698"/>
      <c r="V31" s="698"/>
      <c r="W31" s="517"/>
      <c r="X31" s="521">
        <v>15000000</v>
      </c>
      <c r="Y31" s="855">
        <v>15000000</v>
      </c>
      <c r="Z31" s="856">
        <f aca="true" t="shared" si="9" ref="Z31:AC37">F31-R31</f>
        <v>17662144</v>
      </c>
      <c r="AA31" s="856">
        <f t="shared" si="9"/>
        <v>17662144</v>
      </c>
      <c r="AB31" s="856">
        <f t="shared" si="9"/>
        <v>22127196</v>
      </c>
      <c r="AC31" s="856">
        <f t="shared" si="9"/>
        <v>25323215</v>
      </c>
      <c r="AD31" s="856">
        <f aca="true" t="shared" si="10" ref="AD31:AD42">J31-V31</f>
        <v>17976787</v>
      </c>
      <c r="AE31" s="1147">
        <f t="shared" si="7"/>
        <v>0.7098935502462859</v>
      </c>
    </row>
    <row r="32" spans="1:31" ht="29.25" customHeight="1" thickBot="1">
      <c r="A32" s="1034">
        <v>3</v>
      </c>
      <c r="B32" s="72" t="s">
        <v>515</v>
      </c>
      <c r="C32" s="1027" t="s">
        <v>207</v>
      </c>
      <c r="D32" s="515">
        <v>10000000</v>
      </c>
      <c r="E32" s="63">
        <v>10000000</v>
      </c>
      <c r="F32" s="63">
        <v>10000000</v>
      </c>
      <c r="G32" s="63">
        <v>10000000</v>
      </c>
      <c r="H32" s="63">
        <v>10000000</v>
      </c>
      <c r="I32" s="63">
        <v>10000000</v>
      </c>
      <c r="J32" s="63">
        <f>1759483+227642+500000+274050+475061+61464</f>
        <v>3297700</v>
      </c>
      <c r="K32" s="1147">
        <f t="shared" si="6"/>
        <v>0.32977</v>
      </c>
      <c r="L32" s="1003"/>
      <c r="M32" s="515">
        <f>1759483+227642+500000+274050</f>
        <v>2761175</v>
      </c>
      <c r="N32" s="515">
        <f>475061+61464</f>
        <v>536525</v>
      </c>
      <c r="O32" s="520">
        <f t="shared" si="8"/>
        <v>3297700</v>
      </c>
      <c r="P32" s="519"/>
      <c r="Q32" s="698"/>
      <c r="R32" s="698"/>
      <c r="S32" s="698"/>
      <c r="T32" s="698"/>
      <c r="U32" s="698"/>
      <c r="V32" s="698"/>
      <c r="W32" s="517"/>
      <c r="X32" s="515">
        <v>10000000</v>
      </c>
      <c r="Y32" s="63">
        <v>10000000</v>
      </c>
      <c r="Z32" s="856">
        <f t="shared" si="9"/>
        <v>10000000</v>
      </c>
      <c r="AA32" s="856">
        <f t="shared" si="9"/>
        <v>10000000</v>
      </c>
      <c r="AB32" s="856">
        <f t="shared" si="9"/>
        <v>10000000</v>
      </c>
      <c r="AC32" s="856">
        <f t="shared" si="9"/>
        <v>10000000</v>
      </c>
      <c r="AD32" s="856">
        <f t="shared" si="10"/>
        <v>3297700</v>
      </c>
      <c r="AE32" s="1147">
        <f t="shared" si="7"/>
        <v>0.32977</v>
      </c>
    </row>
    <row r="33" spans="1:31" ht="29.25" customHeight="1" thickBot="1">
      <c r="A33" s="1034">
        <v>4</v>
      </c>
      <c r="B33" s="71" t="s">
        <v>516</v>
      </c>
      <c r="C33" s="509" t="s">
        <v>207</v>
      </c>
      <c r="D33" s="513">
        <v>40000000</v>
      </c>
      <c r="E33" s="856">
        <v>40000000</v>
      </c>
      <c r="F33" s="856">
        <f>40000000+200000+13866930+3744071</f>
        <v>57811001</v>
      </c>
      <c r="G33" s="856">
        <f>40000000+200000+13866930+3744071+2093572+565264</f>
        <v>60469837</v>
      </c>
      <c r="H33" s="856">
        <f>40000000+200000+13866930+3744071+2093572+565264</f>
        <v>60469837</v>
      </c>
      <c r="I33" s="856">
        <f>40000000+200000+13866930+3744071+2093572+565264+2610582+704857</f>
        <v>63785276</v>
      </c>
      <c r="J33" s="856">
        <v>33305830</v>
      </c>
      <c r="K33" s="1147">
        <f t="shared" si="6"/>
        <v>0.5221554579461254</v>
      </c>
      <c r="L33" s="1145">
        <f>200000+2093571+1784938+22189074</f>
        <v>26267583</v>
      </c>
      <c r="M33" s="513"/>
      <c r="N33" s="513">
        <f>565264+481933+5991050</f>
        <v>7038247</v>
      </c>
      <c r="O33" s="520">
        <f t="shared" si="8"/>
        <v>33305830</v>
      </c>
      <c r="P33" s="513">
        <v>40000000</v>
      </c>
      <c r="Q33" s="856">
        <v>40000000</v>
      </c>
      <c r="R33" s="856">
        <v>40000000</v>
      </c>
      <c r="S33" s="856">
        <v>40000000</v>
      </c>
      <c r="T33" s="856">
        <v>40000000</v>
      </c>
      <c r="U33" s="856">
        <v>40000000</v>
      </c>
      <c r="V33" s="856">
        <v>33305830</v>
      </c>
      <c r="W33" s="1147">
        <f>+V33/U33</f>
        <v>0.83264575</v>
      </c>
      <c r="X33" s="513"/>
      <c r="Y33" s="856"/>
      <c r="Z33" s="856">
        <f t="shared" si="9"/>
        <v>17811001</v>
      </c>
      <c r="AA33" s="856">
        <f t="shared" si="9"/>
        <v>20469837</v>
      </c>
      <c r="AB33" s="856">
        <f t="shared" si="9"/>
        <v>20469837</v>
      </c>
      <c r="AC33" s="856">
        <f t="shared" si="9"/>
        <v>23785276</v>
      </c>
      <c r="AD33" s="856">
        <f t="shared" si="10"/>
        <v>0</v>
      </c>
      <c r="AE33" s="1147">
        <f t="shared" si="7"/>
        <v>0</v>
      </c>
    </row>
    <row r="34" spans="1:31" ht="29.25" customHeight="1" thickBot="1">
      <c r="A34" s="1034">
        <v>5</v>
      </c>
      <c r="B34" s="71" t="s">
        <v>517</v>
      </c>
      <c r="C34" s="509" t="s">
        <v>207</v>
      </c>
      <c r="D34" s="513">
        <v>635000</v>
      </c>
      <c r="E34" s="856">
        <v>635000</v>
      </c>
      <c r="F34" s="856">
        <v>635000</v>
      </c>
      <c r="G34" s="856">
        <v>635000</v>
      </c>
      <c r="H34" s="856">
        <v>635000</v>
      </c>
      <c r="I34" s="856">
        <v>635000</v>
      </c>
      <c r="J34" s="856">
        <f>+500000+135000</f>
        <v>635000</v>
      </c>
      <c r="K34" s="1147">
        <f t="shared" si="6"/>
        <v>1</v>
      </c>
      <c r="L34" s="1145">
        <v>500000</v>
      </c>
      <c r="M34" s="513"/>
      <c r="N34" s="513">
        <v>135000</v>
      </c>
      <c r="O34" s="520">
        <f t="shared" si="8"/>
        <v>635000</v>
      </c>
      <c r="P34" s="519"/>
      <c r="Q34" s="698"/>
      <c r="R34" s="698"/>
      <c r="S34" s="698"/>
      <c r="T34" s="698"/>
      <c r="U34" s="698"/>
      <c r="V34" s="698"/>
      <c r="W34" s="517"/>
      <c r="X34" s="513">
        <v>635000</v>
      </c>
      <c r="Y34" s="856">
        <v>635000</v>
      </c>
      <c r="Z34" s="856">
        <f t="shared" si="9"/>
        <v>635000</v>
      </c>
      <c r="AA34" s="856">
        <f t="shared" si="9"/>
        <v>635000</v>
      </c>
      <c r="AB34" s="856">
        <f t="shared" si="9"/>
        <v>635000</v>
      </c>
      <c r="AC34" s="856">
        <f t="shared" si="9"/>
        <v>635000</v>
      </c>
      <c r="AD34" s="856">
        <f t="shared" si="10"/>
        <v>635000</v>
      </c>
      <c r="AE34" s="1147">
        <f t="shared" si="7"/>
        <v>1</v>
      </c>
    </row>
    <row r="35" spans="1:31" ht="29.25" customHeight="1" thickBot="1">
      <c r="A35" s="1034">
        <v>6</v>
      </c>
      <c r="B35" s="71" t="s">
        <v>518</v>
      </c>
      <c r="C35" s="511" t="s">
        <v>207</v>
      </c>
      <c r="D35" s="513">
        <v>8000000</v>
      </c>
      <c r="E35" s="856">
        <v>8000000</v>
      </c>
      <c r="F35" s="856">
        <f>8000000+200787+54213</f>
        <v>8255000</v>
      </c>
      <c r="G35" s="856">
        <f>8000000+200787+54213</f>
        <v>8255000</v>
      </c>
      <c r="H35" s="856">
        <f>8000000+200787+54213</f>
        <v>8255000</v>
      </c>
      <c r="I35" s="856">
        <f>8000000+200787+54213</f>
        <v>8255000</v>
      </c>
      <c r="J35" s="856">
        <f>877500+3250000+877500+3250000</f>
        <v>8255000</v>
      </c>
      <c r="K35" s="1147">
        <f t="shared" si="6"/>
        <v>1</v>
      </c>
      <c r="L35" s="1145"/>
      <c r="M35" s="513">
        <f>3250000+3250000</f>
        <v>6500000</v>
      </c>
      <c r="N35" s="513">
        <f>877500*2</f>
        <v>1755000</v>
      </c>
      <c r="O35" s="520">
        <f t="shared" si="8"/>
        <v>8255000</v>
      </c>
      <c r="P35" s="518"/>
      <c r="Q35" s="854"/>
      <c r="R35" s="854"/>
      <c r="S35" s="854"/>
      <c r="T35" s="854"/>
      <c r="U35" s="854"/>
      <c r="V35" s="854"/>
      <c r="W35" s="517"/>
      <c r="X35" s="513">
        <v>8000000</v>
      </c>
      <c r="Y35" s="856">
        <v>8000000</v>
      </c>
      <c r="Z35" s="856">
        <f t="shared" si="9"/>
        <v>8255000</v>
      </c>
      <c r="AA35" s="856">
        <f t="shared" si="9"/>
        <v>8255000</v>
      </c>
      <c r="AB35" s="856">
        <f t="shared" si="9"/>
        <v>8255000</v>
      </c>
      <c r="AC35" s="856">
        <f t="shared" si="9"/>
        <v>8255000</v>
      </c>
      <c r="AD35" s="856">
        <f t="shared" si="10"/>
        <v>8255000</v>
      </c>
      <c r="AE35" s="1147">
        <f t="shared" si="7"/>
        <v>1</v>
      </c>
    </row>
    <row r="36" spans="1:31" ht="29.25" customHeight="1" thickBot="1">
      <c r="A36" s="1034">
        <v>7</v>
      </c>
      <c r="B36" s="71" t="s">
        <v>519</v>
      </c>
      <c r="C36" s="511" t="s">
        <v>207</v>
      </c>
      <c r="D36" s="513">
        <v>1000000</v>
      </c>
      <c r="E36" s="856">
        <v>1000000</v>
      </c>
      <c r="F36" s="856">
        <f>1000000+84694+22868</f>
        <v>1107562</v>
      </c>
      <c r="G36" s="856">
        <f>1000000+84694+22868</f>
        <v>1107562</v>
      </c>
      <c r="H36" s="856">
        <f>1000000+84694+22868</f>
        <v>1107562</v>
      </c>
      <c r="I36" s="856">
        <f>1000000+84694+22868</f>
        <v>1107562</v>
      </c>
      <c r="J36" s="856">
        <f>872095+235466</f>
        <v>1107561</v>
      </c>
      <c r="K36" s="1147">
        <f t="shared" si="6"/>
        <v>0.999999097116008</v>
      </c>
      <c r="L36" s="1145"/>
      <c r="M36" s="513">
        <v>872095</v>
      </c>
      <c r="N36" s="513">
        <v>235466</v>
      </c>
      <c r="O36" s="520">
        <f t="shared" si="8"/>
        <v>1107561</v>
      </c>
      <c r="P36" s="518"/>
      <c r="Q36" s="854"/>
      <c r="R36" s="854"/>
      <c r="S36" s="854"/>
      <c r="T36" s="854"/>
      <c r="U36" s="854"/>
      <c r="V36" s="854"/>
      <c r="W36" s="517"/>
      <c r="X36" s="513">
        <v>1000000</v>
      </c>
      <c r="Y36" s="856">
        <v>1000000</v>
      </c>
      <c r="Z36" s="856">
        <f t="shared" si="9"/>
        <v>1107562</v>
      </c>
      <c r="AA36" s="856">
        <f t="shared" si="9"/>
        <v>1107562</v>
      </c>
      <c r="AB36" s="856">
        <f t="shared" si="9"/>
        <v>1107562</v>
      </c>
      <c r="AC36" s="856">
        <f t="shared" si="9"/>
        <v>1107562</v>
      </c>
      <c r="AD36" s="856">
        <f t="shared" si="10"/>
        <v>1107561</v>
      </c>
      <c r="AE36" s="1147">
        <f t="shared" si="7"/>
        <v>0.999999097116008</v>
      </c>
    </row>
    <row r="37" spans="1:31" ht="29.25" customHeight="1" thickBot="1">
      <c r="A37" s="1034">
        <v>8</v>
      </c>
      <c r="B37" s="71" t="s">
        <v>564</v>
      </c>
      <c r="C37" s="511" t="s">
        <v>207</v>
      </c>
      <c r="D37" s="513"/>
      <c r="E37" s="856"/>
      <c r="F37" s="856">
        <v>499567</v>
      </c>
      <c r="G37" s="856">
        <v>499567</v>
      </c>
      <c r="H37" s="856">
        <v>499567</v>
      </c>
      <c r="I37" s="856">
        <v>499567</v>
      </c>
      <c r="J37" s="856">
        <f>393360+106207</f>
        <v>499567</v>
      </c>
      <c r="K37" s="1147">
        <f t="shared" si="6"/>
        <v>1</v>
      </c>
      <c r="L37" s="1145"/>
      <c r="M37" s="513">
        <v>393360</v>
      </c>
      <c r="N37" s="513">
        <v>106207</v>
      </c>
      <c r="O37" s="520">
        <f t="shared" si="8"/>
        <v>499567</v>
      </c>
      <c r="P37" s="518"/>
      <c r="Q37" s="854"/>
      <c r="R37" s="854"/>
      <c r="S37" s="854"/>
      <c r="T37" s="855"/>
      <c r="U37" s="855"/>
      <c r="V37" s="855"/>
      <c r="W37" s="517"/>
      <c r="X37" s="518"/>
      <c r="Y37" s="854"/>
      <c r="Z37" s="856">
        <f t="shared" si="9"/>
        <v>499567</v>
      </c>
      <c r="AA37" s="856">
        <f t="shared" si="9"/>
        <v>499567</v>
      </c>
      <c r="AB37" s="856">
        <f t="shared" si="9"/>
        <v>499567</v>
      </c>
      <c r="AC37" s="856">
        <f t="shared" si="9"/>
        <v>499567</v>
      </c>
      <c r="AD37" s="856">
        <f t="shared" si="10"/>
        <v>499567</v>
      </c>
      <c r="AE37" s="1147">
        <f t="shared" si="7"/>
        <v>1</v>
      </c>
    </row>
    <row r="38" spans="1:31" ht="48.75" customHeight="1" thickBot="1">
      <c r="A38" s="1034">
        <v>9</v>
      </c>
      <c r="B38" s="71" t="s">
        <v>565</v>
      </c>
      <c r="C38" s="511" t="s">
        <v>207</v>
      </c>
      <c r="D38" s="513"/>
      <c r="E38" s="856"/>
      <c r="F38" s="856"/>
      <c r="G38" s="856">
        <f>56477430+15248904</f>
        <v>71726334</v>
      </c>
      <c r="H38" s="856">
        <f>56477430+15248904</f>
        <v>71726334</v>
      </c>
      <c r="I38" s="856">
        <f>56477430+15248904</f>
        <v>71726334</v>
      </c>
      <c r="J38" s="856">
        <f>1079060+291346</f>
        <v>1370406</v>
      </c>
      <c r="K38" s="1147">
        <f t="shared" si="6"/>
        <v>0.019106037121596094</v>
      </c>
      <c r="L38" s="1145">
        <v>1079060</v>
      </c>
      <c r="M38" s="513"/>
      <c r="N38" s="513">
        <v>291346</v>
      </c>
      <c r="O38" s="520">
        <f t="shared" si="8"/>
        <v>1370406</v>
      </c>
      <c r="P38" s="518"/>
      <c r="Q38" s="854"/>
      <c r="R38" s="854"/>
      <c r="S38" s="854">
        <v>71726334</v>
      </c>
      <c r="T38" s="854">
        <v>71726334</v>
      </c>
      <c r="U38" s="854">
        <v>71726334</v>
      </c>
      <c r="V38" s="854">
        <v>1370406</v>
      </c>
      <c r="W38" s="1147">
        <f>+V38/U38</f>
        <v>0.019106037121596094</v>
      </c>
      <c r="X38" s="518"/>
      <c r="Y38" s="854"/>
      <c r="Z38" s="856">
        <f>F38-R38</f>
        <v>0</v>
      </c>
      <c r="AA38" s="856">
        <f>G38-S38</f>
        <v>0</v>
      </c>
      <c r="AB38" s="856"/>
      <c r="AC38" s="856">
        <f>I38-U38</f>
        <v>0</v>
      </c>
      <c r="AD38" s="856">
        <f t="shared" si="10"/>
        <v>0</v>
      </c>
      <c r="AE38" s="1147"/>
    </row>
    <row r="39" spans="1:31" ht="28.5" customHeight="1" thickBot="1">
      <c r="A39" s="1034">
        <v>10</v>
      </c>
      <c r="B39" s="956" t="s">
        <v>574</v>
      </c>
      <c r="C39" s="511" t="s">
        <v>207</v>
      </c>
      <c r="D39" s="513"/>
      <c r="E39" s="856"/>
      <c r="F39" s="856"/>
      <c r="G39" s="856"/>
      <c r="H39" s="856">
        <f>1891455+510693</f>
        <v>2402148</v>
      </c>
      <c r="I39" s="856">
        <f>1891455+510693</f>
        <v>2402148</v>
      </c>
      <c r="J39" s="856">
        <f>1891455+510693</f>
        <v>2402148</v>
      </c>
      <c r="K39" s="1147">
        <f t="shared" si="6"/>
        <v>1</v>
      </c>
      <c r="L39" s="1145">
        <f>945728+945727</f>
        <v>1891455</v>
      </c>
      <c r="M39" s="513"/>
      <c r="N39" s="513">
        <f>255347+255346</f>
        <v>510693</v>
      </c>
      <c r="O39" s="520">
        <f t="shared" si="8"/>
        <v>2402148</v>
      </c>
      <c r="P39" s="518"/>
      <c r="Q39" s="854"/>
      <c r="R39" s="854"/>
      <c r="S39" s="854"/>
      <c r="T39" s="856"/>
      <c r="U39" s="856"/>
      <c r="V39" s="856"/>
      <c r="W39" s="517"/>
      <c r="X39" s="518"/>
      <c r="Y39" s="854"/>
      <c r="Z39" s="856"/>
      <c r="AA39" s="856"/>
      <c r="AB39" s="856">
        <f>1891455+510693</f>
        <v>2402148</v>
      </c>
      <c r="AC39" s="856">
        <f>I39-U39</f>
        <v>2402148</v>
      </c>
      <c r="AD39" s="856">
        <f t="shared" si="10"/>
        <v>2402148</v>
      </c>
      <c r="AE39" s="1147">
        <f t="shared" si="7"/>
        <v>1</v>
      </c>
    </row>
    <row r="40" spans="1:31" ht="28.5" customHeight="1" thickBot="1">
      <c r="A40" s="1034">
        <v>11</v>
      </c>
      <c r="B40" s="956" t="s">
        <v>604</v>
      </c>
      <c r="C40" s="511" t="s">
        <v>207</v>
      </c>
      <c r="D40" s="513"/>
      <c r="E40" s="856"/>
      <c r="F40" s="856"/>
      <c r="G40" s="856"/>
      <c r="H40" s="856"/>
      <c r="I40" s="856">
        <f>1851829+499994</f>
        <v>2351823</v>
      </c>
      <c r="J40" s="856">
        <v>1143000</v>
      </c>
      <c r="K40" s="1147">
        <f t="shared" si="6"/>
        <v>0.4860059621833786</v>
      </c>
      <c r="L40" s="1145">
        <v>900000</v>
      </c>
      <c r="M40" s="513"/>
      <c r="N40" s="513">
        <v>243000</v>
      </c>
      <c r="O40" s="520">
        <f t="shared" si="8"/>
        <v>1143000</v>
      </c>
      <c r="P40" s="518"/>
      <c r="Q40" s="854"/>
      <c r="R40" s="854"/>
      <c r="S40" s="854"/>
      <c r="T40" s="856"/>
      <c r="U40" s="856"/>
      <c r="V40" s="856"/>
      <c r="W40" s="517"/>
      <c r="X40" s="518"/>
      <c r="Y40" s="854"/>
      <c r="Z40" s="856"/>
      <c r="AA40" s="856"/>
      <c r="AB40" s="856"/>
      <c r="AC40" s="856">
        <f>I40-U40</f>
        <v>2351823</v>
      </c>
      <c r="AD40" s="856">
        <f t="shared" si="10"/>
        <v>1143000</v>
      </c>
      <c r="AE40" s="1147">
        <f t="shared" si="7"/>
        <v>0.4860059621833786</v>
      </c>
    </row>
    <row r="41" spans="1:31" ht="48.75" customHeight="1" thickBot="1">
      <c r="A41" s="1034">
        <v>12</v>
      </c>
      <c r="B41" s="956" t="s">
        <v>608</v>
      </c>
      <c r="C41" s="511" t="s">
        <v>207</v>
      </c>
      <c r="D41" s="513"/>
      <c r="E41" s="856"/>
      <c r="F41" s="856"/>
      <c r="G41" s="856"/>
      <c r="H41" s="856"/>
      <c r="I41" s="856">
        <f>93543+346457</f>
        <v>440000</v>
      </c>
      <c r="J41" s="856">
        <f>93543+346457</f>
        <v>440000</v>
      </c>
      <c r="K41" s="1147">
        <f t="shared" si="6"/>
        <v>1</v>
      </c>
      <c r="L41" s="1145">
        <v>346457</v>
      </c>
      <c r="M41" s="513"/>
      <c r="N41" s="513">
        <v>93543</v>
      </c>
      <c r="O41" s="520">
        <f t="shared" si="8"/>
        <v>440000</v>
      </c>
      <c r="P41" s="518"/>
      <c r="Q41" s="854"/>
      <c r="R41" s="854"/>
      <c r="S41" s="854"/>
      <c r="T41" s="856"/>
      <c r="U41" s="856"/>
      <c r="V41" s="856"/>
      <c r="W41" s="517"/>
      <c r="X41" s="518"/>
      <c r="Y41" s="854"/>
      <c r="Z41" s="856"/>
      <c r="AA41" s="856"/>
      <c r="AB41" s="856"/>
      <c r="AC41" s="856">
        <f>I41-U41</f>
        <v>440000</v>
      </c>
      <c r="AD41" s="856">
        <f t="shared" si="10"/>
        <v>440000</v>
      </c>
      <c r="AE41" s="1147">
        <f t="shared" si="7"/>
        <v>1</v>
      </c>
    </row>
    <row r="42" spans="1:31" ht="29.25" customHeight="1" thickBot="1">
      <c r="A42" s="1034">
        <v>13</v>
      </c>
      <c r="B42" s="77" t="s">
        <v>609</v>
      </c>
      <c r="C42" s="511" t="s">
        <v>207</v>
      </c>
      <c r="D42" s="513"/>
      <c r="E42" s="856"/>
      <c r="F42" s="856"/>
      <c r="G42" s="856"/>
      <c r="H42" s="856"/>
      <c r="I42" s="856">
        <f>16200+60000</f>
        <v>76200</v>
      </c>
      <c r="J42" s="856">
        <f>16200+60000</f>
        <v>76200</v>
      </c>
      <c r="K42" s="1147">
        <f t="shared" si="6"/>
        <v>1</v>
      </c>
      <c r="L42" s="1145"/>
      <c r="M42" s="513">
        <v>60000</v>
      </c>
      <c r="N42" s="513">
        <v>16200</v>
      </c>
      <c r="O42" s="520">
        <f t="shared" si="8"/>
        <v>76200</v>
      </c>
      <c r="P42" s="518"/>
      <c r="Q42" s="854"/>
      <c r="R42" s="854"/>
      <c r="S42" s="854"/>
      <c r="T42" s="856"/>
      <c r="U42" s="856"/>
      <c r="V42" s="856"/>
      <c r="W42" s="517"/>
      <c r="X42" s="518"/>
      <c r="Y42" s="854"/>
      <c r="Z42" s="856">
        <f>F42-R42</f>
        <v>0</v>
      </c>
      <c r="AA42" s="856">
        <f>G42-S42</f>
        <v>0</v>
      </c>
      <c r="AB42" s="856"/>
      <c r="AC42" s="856">
        <f>I42-U42</f>
        <v>76200</v>
      </c>
      <c r="AD42" s="856">
        <f t="shared" si="10"/>
        <v>76200</v>
      </c>
      <c r="AE42" s="1147">
        <f t="shared" si="7"/>
        <v>1</v>
      </c>
    </row>
    <row r="43" spans="1:31" ht="29.25" customHeight="1" thickBot="1">
      <c r="A43" s="1538" t="s">
        <v>1</v>
      </c>
      <c r="B43" s="1539"/>
      <c r="C43" s="1017"/>
      <c r="D43" s="516">
        <f aca="true" t="shared" si="11" ref="D43:J43">SUM(D30:D42)</f>
        <v>94635000</v>
      </c>
      <c r="E43" s="697">
        <f t="shared" si="11"/>
        <v>94635000</v>
      </c>
      <c r="F43" s="697">
        <f t="shared" si="11"/>
        <v>115970274</v>
      </c>
      <c r="G43" s="697">
        <f t="shared" si="11"/>
        <v>190355444</v>
      </c>
      <c r="H43" s="697">
        <f t="shared" si="11"/>
        <v>197222644</v>
      </c>
      <c r="I43" s="697">
        <f t="shared" si="11"/>
        <v>206085925</v>
      </c>
      <c r="J43" s="697">
        <f t="shared" si="11"/>
        <v>88902078</v>
      </c>
      <c r="K43" s="1148">
        <f t="shared" si="6"/>
        <v>0.43138355033222187</v>
      </c>
      <c r="L43" s="1132">
        <f>SUM(L30:L42)</f>
        <v>30984555</v>
      </c>
      <c r="M43" s="516">
        <f>SUM(M30:M42)</f>
        <v>39224161</v>
      </c>
      <c r="N43" s="516"/>
      <c r="O43" s="516"/>
      <c r="P43" s="516">
        <f aca="true" t="shared" si="12" ref="P43:V43">SUM(P30:P42)</f>
        <v>40000000</v>
      </c>
      <c r="Q43" s="697">
        <f t="shared" si="12"/>
        <v>40000000</v>
      </c>
      <c r="R43" s="697">
        <f>SUM(R30:R42)</f>
        <v>40000000</v>
      </c>
      <c r="S43" s="697">
        <f t="shared" si="12"/>
        <v>111726334</v>
      </c>
      <c r="T43" s="697">
        <f t="shared" si="12"/>
        <v>111726334</v>
      </c>
      <c r="U43" s="697">
        <f t="shared" si="12"/>
        <v>111726334</v>
      </c>
      <c r="V43" s="697">
        <f t="shared" si="12"/>
        <v>34676236</v>
      </c>
      <c r="W43" s="1148">
        <f>+V43/U43</f>
        <v>0.3103676166444341</v>
      </c>
      <c r="X43" s="516">
        <f aca="true" t="shared" si="13" ref="X43:AD43">SUM(X30:X42)</f>
        <v>54635000</v>
      </c>
      <c r="Y43" s="697">
        <f t="shared" si="13"/>
        <v>54635000</v>
      </c>
      <c r="Z43" s="697">
        <f t="shared" si="13"/>
        <v>75970274</v>
      </c>
      <c r="AA43" s="697">
        <f t="shared" si="13"/>
        <v>78629110</v>
      </c>
      <c r="AB43" s="697">
        <f t="shared" si="13"/>
        <v>85496310</v>
      </c>
      <c r="AC43" s="697">
        <f t="shared" si="13"/>
        <v>94359591</v>
      </c>
      <c r="AD43" s="697">
        <f t="shared" si="13"/>
        <v>54225842</v>
      </c>
      <c r="AE43" s="1148">
        <f t="shared" si="7"/>
        <v>0.5746722874201521</v>
      </c>
    </row>
    <row r="44" ht="15.75">
      <c r="D44" s="894" t="str">
        <f>IF(D43='4.sz.m.ÖNK kiadás'!E19," ","HIBA - nem egyenlő főlappal")</f>
        <v> </v>
      </c>
    </row>
    <row r="45" spans="4:24" ht="12.75">
      <c r="D45" s="1035" t="str">
        <f>IF(P43+X43=D43," ","HIBA-NEM EGYENLŐ")</f>
        <v> </v>
      </c>
      <c r="P45" s="1029"/>
      <c r="Q45" s="1029"/>
      <c r="R45" s="1029"/>
      <c r="S45" s="1029"/>
      <c r="T45" s="1029"/>
      <c r="U45" s="1029"/>
      <c r="V45" s="1029"/>
      <c r="W45" s="1029"/>
      <c r="X45" s="1029"/>
    </row>
    <row r="46" ht="12.75">
      <c r="AA46" s="1029"/>
    </row>
  </sheetData>
  <sheetProtection/>
  <mergeCells count="10">
    <mergeCell ref="D3:K3"/>
    <mergeCell ref="D28:K28"/>
    <mergeCell ref="P28:W28"/>
    <mergeCell ref="X28:AE28"/>
    <mergeCell ref="A43:B43"/>
    <mergeCell ref="A1:X1"/>
    <mergeCell ref="P3:W3"/>
    <mergeCell ref="X3:AE3"/>
    <mergeCell ref="A23:B23"/>
    <mergeCell ref="A26:X26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landscape" paperSize="9" scale="36" r:id="rId1"/>
  <headerFooter alignWithMargins="0">
    <oddHeader>&amp;CÖNKORMÁNYZATI BERUHÁZÁSOK ÉS FELÚJÍTÁSOK
2017.
&amp;R&amp;"Arial CE,Félkövér dőlt"6/a számú melléklet</oddHeader>
  </headerFooter>
  <colBreaks count="1" manualBreakCount="1"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2">
      <selection activeCell="D2" sqref="D2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5" width="14.57421875" style="9" customWidth="1"/>
    <col min="6" max="6" width="14.57421875" style="9" hidden="1" customWidth="1"/>
    <col min="7" max="7" width="12.8515625" style="9" hidden="1" customWidth="1"/>
    <col min="8" max="8" width="13.57421875" style="9" hidden="1" customWidth="1"/>
    <col min="9" max="9" width="12.57421875" style="9" hidden="1" customWidth="1"/>
    <col min="10" max="10" width="13.8515625" style="9" customWidth="1"/>
    <col min="11" max="11" width="14.7109375" style="9" customWidth="1"/>
    <col min="12" max="12" width="13.140625" style="9" customWidth="1"/>
    <col min="13" max="16384" width="9.140625" style="9" customWidth="1"/>
  </cols>
  <sheetData>
    <row r="1" spans="2:9" ht="12.75">
      <c r="B1" s="39"/>
      <c r="D1" s="1546" t="s">
        <v>640</v>
      </c>
      <c r="E1" s="1546"/>
      <c r="F1" s="1546"/>
      <c r="G1" s="1546"/>
      <c r="H1" s="1546"/>
      <c r="I1" s="1546"/>
    </row>
    <row r="2" ht="12.75">
      <c r="B2" s="39"/>
    </row>
    <row r="3" spans="1:6" ht="18">
      <c r="A3" s="1544" t="s">
        <v>56</v>
      </c>
      <c r="B3" s="1544"/>
      <c r="C3" s="1544"/>
      <c r="D3" s="1544"/>
      <c r="E3" s="1544"/>
      <c r="F3" s="17"/>
    </row>
    <row r="4" spans="1:6" ht="18">
      <c r="A4" s="1544" t="s">
        <v>544</v>
      </c>
      <c r="B4" s="1544"/>
      <c r="C4" s="1544"/>
      <c r="D4" s="1544"/>
      <c r="E4" s="1544"/>
      <c r="F4" s="17"/>
    </row>
    <row r="5" spans="1:6" ht="18">
      <c r="A5" s="17"/>
      <c r="B5" s="29"/>
      <c r="C5" s="29"/>
      <c r="D5" s="17"/>
      <c r="E5" s="17"/>
      <c r="F5" s="17"/>
    </row>
    <row r="6" spans="1:6" ht="15.75">
      <c r="A6" s="1545" t="s">
        <v>505</v>
      </c>
      <c r="B6" s="1545"/>
      <c r="C6" s="1545"/>
      <c r="D6" s="1545"/>
      <c r="E6" s="1545"/>
      <c r="F6" s="10"/>
    </row>
    <row r="7" spans="1:10" ht="16.5" customHeight="1" thickBot="1">
      <c r="A7" s="11"/>
      <c r="B7" s="40"/>
      <c r="C7" s="1547" t="s">
        <v>488</v>
      </c>
      <c r="D7" s="1547"/>
      <c r="E7" s="1547"/>
      <c r="F7" s="1547"/>
      <c r="G7" s="1547"/>
      <c r="H7" s="1547"/>
      <c r="I7" s="1547"/>
      <c r="J7" s="1547"/>
    </row>
    <row r="8" spans="1:12" ht="45.75" customHeight="1" thickBot="1">
      <c r="A8" s="21" t="s">
        <v>19</v>
      </c>
      <c r="B8" s="30" t="s">
        <v>17</v>
      </c>
      <c r="C8" s="30" t="s">
        <v>18</v>
      </c>
      <c r="D8" s="700" t="s">
        <v>30</v>
      </c>
      <c r="E8" s="706" t="s">
        <v>205</v>
      </c>
      <c r="F8" s="30" t="s">
        <v>228</v>
      </c>
      <c r="G8" s="30" t="s">
        <v>231</v>
      </c>
      <c r="H8" s="30" t="s">
        <v>233</v>
      </c>
      <c r="I8" s="30" t="s">
        <v>246</v>
      </c>
      <c r="J8" s="30" t="s">
        <v>250</v>
      </c>
      <c r="K8" s="30" t="s">
        <v>236</v>
      </c>
      <c r="L8" s="30" t="s">
        <v>237</v>
      </c>
    </row>
    <row r="9" spans="1:12" s="16" customFormat="1" ht="30" customHeight="1">
      <c r="A9" s="26">
        <v>1</v>
      </c>
      <c r="B9" s="31" t="s">
        <v>337</v>
      </c>
      <c r="C9" s="31" t="s">
        <v>338</v>
      </c>
      <c r="D9" s="701" t="s">
        <v>15</v>
      </c>
      <c r="E9" s="707">
        <v>889000</v>
      </c>
      <c r="F9" s="707">
        <v>889000</v>
      </c>
      <c r="G9" s="707">
        <v>889000</v>
      </c>
      <c r="H9" s="707">
        <v>889000</v>
      </c>
      <c r="I9" s="707">
        <v>889000</v>
      </c>
      <c r="J9" s="707">
        <f>7560+28000</f>
        <v>35560</v>
      </c>
      <c r="K9" s="707">
        <f>7560+28000</f>
        <v>35560</v>
      </c>
      <c r="L9" s="1151">
        <f>+K9/J9</f>
        <v>1</v>
      </c>
    </row>
    <row r="10" spans="1:12" s="16" customFormat="1" ht="30" customHeight="1" hidden="1" thickBot="1">
      <c r="A10" s="814">
        <v>2</v>
      </c>
      <c r="B10" s="31" t="s">
        <v>337</v>
      </c>
      <c r="C10" s="815" t="s">
        <v>493</v>
      </c>
      <c r="D10" s="816" t="s">
        <v>15</v>
      </c>
      <c r="E10" s="817"/>
      <c r="F10" s="817"/>
      <c r="G10" s="817"/>
      <c r="H10" s="817"/>
      <c r="I10" s="817"/>
      <c r="J10" s="817"/>
      <c r="K10" s="817"/>
      <c r="L10" s="1152" t="e">
        <f aca="true" t="shared" si="0" ref="L10:L20">+K10/J10</f>
        <v>#DIV/0!</v>
      </c>
    </row>
    <row r="11" spans="1:12" s="16" customFormat="1" ht="30" customHeight="1" hidden="1">
      <c r="A11" s="814">
        <v>3</v>
      </c>
      <c r="B11" s="31" t="s">
        <v>337</v>
      </c>
      <c r="C11" s="815" t="s">
        <v>471</v>
      </c>
      <c r="D11" s="816" t="s">
        <v>15</v>
      </c>
      <c r="E11" s="817"/>
      <c r="F11" s="817"/>
      <c r="G11" s="817"/>
      <c r="H11" s="817"/>
      <c r="I11" s="817"/>
      <c r="J11" s="817"/>
      <c r="K11" s="817"/>
      <c r="L11" s="1152" t="e">
        <f t="shared" si="0"/>
        <v>#DIV/0!</v>
      </c>
    </row>
    <row r="12" spans="1:14" ht="30" customHeight="1">
      <c r="A12" s="34">
        <v>2</v>
      </c>
      <c r="B12" s="41" t="s">
        <v>214</v>
      </c>
      <c r="C12" s="35" t="s">
        <v>545</v>
      </c>
      <c r="D12" s="702" t="s">
        <v>15</v>
      </c>
      <c r="E12" s="708"/>
      <c r="F12" s="708">
        <v>14999</v>
      </c>
      <c r="G12" s="708">
        <v>14999</v>
      </c>
      <c r="H12" s="708">
        <v>14999</v>
      </c>
      <c r="I12" s="1002">
        <v>14999</v>
      </c>
      <c r="J12" s="708">
        <v>14999</v>
      </c>
      <c r="K12" s="708">
        <v>14999</v>
      </c>
      <c r="L12" s="1153">
        <f t="shared" si="0"/>
        <v>1</v>
      </c>
      <c r="N12" s="598"/>
    </row>
    <row r="13" spans="1:12" ht="30" customHeight="1">
      <c r="A13" s="34">
        <v>3</v>
      </c>
      <c r="B13" s="41" t="s">
        <v>214</v>
      </c>
      <c r="C13" s="58" t="s">
        <v>559</v>
      </c>
      <c r="D13" s="702" t="s">
        <v>15</v>
      </c>
      <c r="E13" s="708"/>
      <c r="F13" s="708"/>
      <c r="G13" s="708">
        <f>3500+945</f>
        <v>4445</v>
      </c>
      <c r="H13" s="708">
        <f>3500+945</f>
        <v>4445</v>
      </c>
      <c r="I13" s="1002">
        <f>3500+945</f>
        <v>4445</v>
      </c>
      <c r="J13" s="708">
        <f>3500+945</f>
        <v>4445</v>
      </c>
      <c r="K13" s="708">
        <f>3500+945</f>
        <v>4445</v>
      </c>
      <c r="L13" s="1153">
        <f t="shared" si="0"/>
        <v>1</v>
      </c>
    </row>
    <row r="14" spans="1:12" ht="30" customHeight="1">
      <c r="A14" s="36">
        <v>4</v>
      </c>
      <c r="B14" s="41" t="s">
        <v>214</v>
      </c>
      <c r="C14" s="58" t="s">
        <v>599</v>
      </c>
      <c r="D14" s="703" t="s">
        <v>15</v>
      </c>
      <c r="E14" s="709"/>
      <c r="F14" s="709"/>
      <c r="G14" s="709"/>
      <c r="H14" s="709"/>
      <c r="I14" s="709"/>
      <c r="J14" s="709">
        <v>60000</v>
      </c>
      <c r="K14" s="709">
        <v>60000</v>
      </c>
      <c r="L14" s="1154">
        <f t="shared" si="0"/>
        <v>1</v>
      </c>
    </row>
    <row r="15" spans="1:12" ht="30" customHeight="1">
      <c r="A15" s="34">
        <v>6</v>
      </c>
      <c r="B15" s="41" t="s">
        <v>214</v>
      </c>
      <c r="C15" s="58" t="s">
        <v>600</v>
      </c>
      <c r="D15" s="703" t="s">
        <v>15</v>
      </c>
      <c r="E15" s="709"/>
      <c r="F15" s="709"/>
      <c r="G15" s="709"/>
      <c r="H15" s="709"/>
      <c r="I15" s="709"/>
      <c r="J15" s="709">
        <f>76219+20579</f>
        <v>96798</v>
      </c>
      <c r="K15" s="709">
        <f>76219+20579</f>
        <v>96798</v>
      </c>
      <c r="L15" s="1154">
        <f t="shared" si="0"/>
        <v>1</v>
      </c>
    </row>
    <row r="16" spans="1:12" ht="30" customHeight="1" thickBot="1">
      <c r="A16" s="36">
        <v>6</v>
      </c>
      <c r="B16" s="41" t="s">
        <v>214</v>
      </c>
      <c r="C16" s="58" t="s">
        <v>601</v>
      </c>
      <c r="D16" s="704" t="s">
        <v>15</v>
      </c>
      <c r="E16" s="710"/>
      <c r="F16" s="710"/>
      <c r="G16" s="710"/>
      <c r="H16" s="710"/>
      <c r="I16" s="710"/>
      <c r="J16" s="710">
        <f>7224+26755</f>
        <v>33979</v>
      </c>
      <c r="K16" s="710">
        <f>7224+26755</f>
        <v>33979</v>
      </c>
      <c r="L16" s="1155">
        <f t="shared" si="0"/>
        <v>1</v>
      </c>
    </row>
    <row r="17" spans="1:12" ht="36.75" customHeight="1" thickBot="1">
      <c r="A17" s="34">
        <v>7</v>
      </c>
      <c r="B17" s="31" t="s">
        <v>337</v>
      </c>
      <c r="C17" s="58" t="s">
        <v>602</v>
      </c>
      <c r="D17" s="704" t="s">
        <v>15</v>
      </c>
      <c r="E17" s="710"/>
      <c r="F17" s="710"/>
      <c r="G17" s="710"/>
      <c r="H17" s="710"/>
      <c r="I17" s="710"/>
      <c r="J17" s="710">
        <f>82401-32834+28110+22249+7590-8866</f>
        <v>98650</v>
      </c>
      <c r="K17" s="710">
        <f>82401-32834+28110+22249+7590-8866</f>
        <v>98650</v>
      </c>
      <c r="L17" s="1155">
        <f t="shared" si="0"/>
        <v>1</v>
      </c>
    </row>
    <row r="18" spans="1:12" ht="36.75" customHeight="1" thickBot="1">
      <c r="A18" s="59">
        <v>8</v>
      </c>
      <c r="B18" s="31" t="s">
        <v>337</v>
      </c>
      <c r="C18" s="58" t="s">
        <v>603</v>
      </c>
      <c r="D18" s="704" t="s">
        <v>15</v>
      </c>
      <c r="E18" s="710"/>
      <c r="F18" s="710"/>
      <c r="G18" s="710"/>
      <c r="H18" s="710"/>
      <c r="I18" s="710"/>
      <c r="J18" s="710">
        <f>19558+72439</f>
        <v>91997</v>
      </c>
      <c r="K18" s="710">
        <f>19558+72439</f>
        <v>91997</v>
      </c>
      <c r="L18" s="1155">
        <f t="shared" si="0"/>
        <v>1</v>
      </c>
    </row>
    <row r="19" spans="1:12" ht="36.75" customHeight="1" hidden="1" thickBot="1">
      <c r="A19" s="59"/>
      <c r="B19" s="58"/>
      <c r="C19" s="58"/>
      <c r="D19" s="704" t="s">
        <v>16</v>
      </c>
      <c r="E19" s="710"/>
      <c r="F19" s="710"/>
      <c r="G19" s="710"/>
      <c r="H19" s="710"/>
      <c r="I19" s="710"/>
      <c r="J19" s="710"/>
      <c r="K19" s="710"/>
      <c r="L19" s="1155" t="e">
        <f t="shared" si="0"/>
        <v>#DIV/0!</v>
      </c>
    </row>
    <row r="20" spans="1:12" s="33" customFormat="1" ht="30" customHeight="1" thickBot="1">
      <c r="A20" s="1542" t="s">
        <v>1</v>
      </c>
      <c r="B20" s="1543"/>
      <c r="C20" s="32"/>
      <c r="D20" s="705"/>
      <c r="E20" s="711">
        <f aca="true" t="shared" si="1" ref="E20:J20">SUM(E9:E19)</f>
        <v>889000</v>
      </c>
      <c r="F20" s="711">
        <f t="shared" si="1"/>
        <v>903999</v>
      </c>
      <c r="G20" s="711">
        <f t="shared" si="1"/>
        <v>908444</v>
      </c>
      <c r="H20" s="711">
        <f t="shared" si="1"/>
        <v>908444</v>
      </c>
      <c r="I20" s="711">
        <f t="shared" si="1"/>
        <v>908444</v>
      </c>
      <c r="J20" s="711">
        <f t="shared" si="1"/>
        <v>436428</v>
      </c>
      <c r="K20" s="711">
        <f>SUM(K9:K19)</f>
        <v>436428</v>
      </c>
      <c r="L20" s="1156">
        <f t="shared" si="0"/>
        <v>1</v>
      </c>
    </row>
    <row r="22" spans="5:6" ht="12.75">
      <c r="E22" s="895" t="str">
        <f>IF(E20='5.2 sz. m ÁMK'!D44+'5.2 sz. m ÁMK'!D46+'5.1 sz. m Köz Hiv'!D41+'5.1 sz. m Köz Hiv'!D42," ","HIBA - nem egyenlő")</f>
        <v> </v>
      </c>
      <c r="F22" s="895" t="str">
        <f>IF(F20='5.2 sz. m ÁMK'!E44+'5.2 sz. m ÁMK'!E46+'5.1 sz. m Köz Hiv'!E41+'5.1 sz. m Köz Hiv'!E42," ","HIBA - nem egyenlő")</f>
        <v> </v>
      </c>
    </row>
  </sheetData>
  <sheetProtection/>
  <mergeCells count="6">
    <mergeCell ref="A20:B20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</cp:lastModifiedBy>
  <cp:lastPrinted>2017-02-27T15:14:38Z</cp:lastPrinted>
  <dcterms:created xsi:type="dcterms:W3CDTF">2000-01-07T08:44:52Z</dcterms:created>
  <dcterms:modified xsi:type="dcterms:W3CDTF">2018-05-30T10:28:27Z</dcterms:modified>
  <cp:category/>
  <cp:version/>
  <cp:contentType/>
  <cp:contentStatus/>
</cp:coreProperties>
</file>